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Z:\user\arabasz\CATALOG rev\000_FINAL_FOR_UGS\ELECTRONIC SUPPLEMENTS\"/>
    </mc:Choice>
  </mc:AlternateContent>
  <bookViews>
    <workbookView xWindow="0" yWindow="0" windowWidth="28800" windowHeight="13335"/>
  </bookViews>
  <sheets>
    <sheet name="README" sheetId="31" r:id="rId1"/>
    <sheet name="Explanation of Columns (Fields)" sheetId="32" r:id="rId2"/>
    <sheet name="CALCS Subcatalog A--Xnon, Xmix " sheetId="22" r:id="rId3"/>
    <sheet name="CALCS Subcatalog B--Xmix" sheetId="27" r:id="rId4"/>
    <sheet name="Summary from Calcs" sheetId="28" r:id="rId5"/>
    <sheet name="For Export--BEM_Xnon, Xmix" sheetId="29" r:id="rId6"/>
  </sheets>
  <definedNames>
    <definedName name="_xlnm.Print_Area" localSheetId="4">'Summary from Calcs'!$A$1:$Q$22</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20" i="22" l="1"/>
  <c r="K6" i="27"/>
  <c r="V6" i="27"/>
  <c r="T36" i="22"/>
  <c r="T35" i="22"/>
  <c r="T33" i="22"/>
  <c r="T32" i="22"/>
  <c r="T29" i="22"/>
  <c r="T24" i="22"/>
  <c r="L34" i="22"/>
  <c r="T14" i="22"/>
  <c r="S42" i="22"/>
  <c r="S41" i="22"/>
  <c r="S40" i="22"/>
  <c r="S37" i="22"/>
  <c r="S36" i="22"/>
  <c r="S35" i="22"/>
  <c r="S34" i="22"/>
  <c r="S33" i="22"/>
  <c r="S32" i="22"/>
  <c r="S31" i="22"/>
  <c r="S30" i="22"/>
  <c r="S29" i="22"/>
  <c r="S28" i="22"/>
  <c r="S27" i="22"/>
  <c r="S26" i="22"/>
  <c r="S25" i="22"/>
  <c r="S24" i="22"/>
  <c r="S23" i="22"/>
  <c r="S22" i="22"/>
  <c r="S21" i="22"/>
  <c r="S20" i="22"/>
  <c r="S19" i="22"/>
  <c r="S18" i="22"/>
  <c r="S17" i="22"/>
  <c r="S16" i="22"/>
  <c r="S15" i="22"/>
  <c r="S14" i="22"/>
  <c r="S13" i="22"/>
  <c r="U13" i="22"/>
  <c r="S12" i="22"/>
  <c r="U12" i="22"/>
  <c r="S11" i="22"/>
  <c r="U11" i="22"/>
  <c r="K42" i="22"/>
  <c r="K41" i="22"/>
  <c r="K37" i="22"/>
  <c r="K34" i="22"/>
  <c r="K31" i="22"/>
  <c r="K30" i="22"/>
  <c r="K28" i="22"/>
  <c r="K27" i="22"/>
  <c r="N6" i="27"/>
  <c r="L6" i="27"/>
  <c r="X6" i="27"/>
  <c r="U6" i="27"/>
  <c r="Q6" i="27"/>
  <c r="P6" i="27"/>
  <c r="M6" i="27"/>
  <c r="D6" i="27"/>
  <c r="S6" i="27"/>
  <c r="W6" i="27"/>
  <c r="T34" i="22"/>
  <c r="U34" i="22"/>
  <c r="V34" i="22"/>
  <c r="T22" i="22"/>
  <c r="T21" i="22"/>
  <c r="T20" i="22"/>
  <c r="P21" i="22"/>
  <c r="R21" i="22"/>
  <c r="P22" i="22"/>
  <c r="R22" i="22"/>
  <c r="U21" i="22"/>
  <c r="U22" i="22"/>
  <c r="V20" i="22"/>
  <c r="V21" i="22"/>
  <c r="V22" i="22"/>
  <c r="U40" i="22"/>
  <c r="V33" i="22"/>
  <c r="V36" i="22"/>
  <c r="V35" i="22"/>
  <c r="U23" i="22"/>
  <c r="V29" i="22"/>
  <c r="P32" i="22"/>
  <c r="O32" i="22"/>
  <c r="N32" i="22"/>
  <c r="P29" i="22"/>
  <c r="O29" i="22"/>
  <c r="N29" i="22"/>
  <c r="T19" i="22"/>
  <c r="T18" i="22"/>
  <c r="D17" i="22"/>
  <c r="M17" i="22"/>
  <c r="D18" i="22"/>
  <c r="M18" i="22"/>
  <c r="T17" i="22"/>
  <c r="U16" i="22"/>
  <c r="R32" i="22"/>
  <c r="V17" i="22"/>
  <c r="V18" i="22"/>
  <c r="V19" i="22"/>
  <c r="R29" i="22"/>
  <c r="V24" i="22"/>
  <c r="V32" i="22"/>
  <c r="D14" i="22"/>
  <c r="Q20" i="22"/>
  <c r="P19" i="22"/>
  <c r="O19" i="22"/>
  <c r="N19" i="22"/>
  <c r="Q18" i="22"/>
  <c r="P18" i="22"/>
  <c r="O18" i="22"/>
  <c r="P17" i="22"/>
  <c r="O17" i="22"/>
  <c r="V14" i="22"/>
  <c r="P14" i="22"/>
  <c r="O14" i="22"/>
  <c r="T15" i="22"/>
  <c r="Q15" i="22"/>
  <c r="P15" i="22"/>
  <c r="R15" i="22"/>
  <c r="V15" i="22"/>
  <c r="U15" i="22"/>
  <c r="R20" i="22"/>
  <c r="U20" i="22"/>
  <c r="R19" i="22"/>
  <c r="U19" i="22"/>
  <c r="R14" i="22"/>
  <c r="U14" i="22"/>
  <c r="R17" i="22"/>
  <c r="U17" i="22"/>
  <c r="R18" i="22"/>
  <c r="U18" i="22"/>
  <c r="D42" i="22"/>
  <c r="M42" i="22"/>
  <c r="D41" i="22"/>
  <c r="M41" i="22"/>
  <c r="D40" i="22"/>
  <c r="M40" i="22"/>
  <c r="D37" i="22"/>
  <c r="M37" i="22"/>
  <c r="D36" i="22"/>
  <c r="M36" i="22"/>
  <c r="U36" i="22"/>
  <c r="D35" i="22"/>
  <c r="M35" i="22"/>
  <c r="U35" i="22"/>
  <c r="D34" i="22"/>
  <c r="M34" i="22"/>
  <c r="D33" i="22"/>
  <c r="M33" i="22"/>
  <c r="U33" i="22"/>
  <c r="D32" i="22"/>
  <c r="M32" i="22"/>
  <c r="U32" i="22"/>
  <c r="D31" i="22"/>
  <c r="M31" i="22"/>
  <c r="D30" i="22"/>
  <c r="M30" i="22"/>
  <c r="D29" i="22"/>
  <c r="M29" i="22"/>
  <c r="U29" i="22"/>
  <c r="D28" i="22"/>
  <c r="M28" i="22"/>
  <c r="D27" i="22"/>
  <c r="M27" i="22"/>
  <c r="D26" i="22"/>
  <c r="D25" i="22"/>
  <c r="D24" i="22"/>
  <c r="M24" i="22"/>
  <c r="U24" i="22"/>
  <c r="D23" i="22"/>
  <c r="M23" i="22"/>
  <c r="D20" i="22"/>
  <c r="M20" i="22"/>
  <c r="D19" i="22"/>
  <c r="M19" i="22"/>
  <c r="D16" i="22"/>
  <c r="M16" i="22"/>
  <c r="D15" i="22"/>
  <c r="M15" i="22"/>
  <c r="D13" i="22"/>
  <c r="M13" i="22"/>
  <c r="D12" i="22"/>
  <c r="M12" i="22"/>
  <c r="D11" i="22"/>
  <c r="M11" i="22"/>
  <c r="B26" i="22"/>
  <c r="K26" i="22"/>
  <c r="B25" i="22"/>
  <c r="K25" i="22"/>
  <c r="X26" i="22"/>
  <c r="X25" i="22"/>
</calcChain>
</file>

<file path=xl/sharedStrings.xml><?xml version="1.0" encoding="utf-8"?>
<sst xmlns="http://schemas.openxmlformats.org/spreadsheetml/2006/main" count="404" uniqueCount="186">
  <si>
    <t>SRA</t>
  </si>
  <si>
    <t>UUS</t>
  </si>
  <si>
    <t>I</t>
  </si>
  <si>
    <t>F</t>
  </si>
  <si>
    <t>5.30MLREN</t>
  </si>
  <si>
    <t>4.50MLPAS</t>
  </si>
  <si>
    <t>5.60MLPAS</t>
  </si>
  <si>
    <t>Source</t>
  </si>
  <si>
    <t>Mag</t>
  </si>
  <si>
    <t>Depth</t>
  </si>
  <si>
    <t>Year</t>
  </si>
  <si>
    <t>Mo</t>
  </si>
  <si>
    <t>Day</t>
  </si>
  <si>
    <t>Hr</t>
  </si>
  <si>
    <t>Min</t>
  </si>
  <si>
    <t>Sec</t>
  </si>
  <si>
    <t>sigM</t>
  </si>
  <si>
    <t>Round</t>
  </si>
  <si>
    <t>Mag1</t>
  </si>
  <si>
    <t>Mag2</t>
  </si>
  <si>
    <t>Mag3</t>
  </si>
  <si>
    <t>Mag4</t>
  </si>
  <si>
    <t>Ref</t>
  </si>
  <si>
    <t>MMI (USGS)</t>
  </si>
  <si>
    <t>Felt (SRA)</t>
  </si>
  <si>
    <t>Mag_flag (UUS)</t>
  </si>
  <si>
    <t>MMI (UUSS)</t>
  </si>
  <si>
    <t>MMI pref</t>
  </si>
  <si>
    <t>MMI flag</t>
  </si>
  <si>
    <t>5.00MLPAS</t>
  </si>
  <si>
    <t>Felt Area (km^2)</t>
  </si>
  <si>
    <t>Felt Area flag</t>
  </si>
  <si>
    <t>SC93</t>
  </si>
  <si>
    <t>5.20UknPAS</t>
  </si>
  <si>
    <t>6.60MsGR</t>
  </si>
  <si>
    <t>6.00MsGR</t>
  </si>
  <si>
    <t>5.61DOS</t>
  </si>
  <si>
    <t>5.25MsGR</t>
  </si>
  <si>
    <t>5.50MsGR</t>
  </si>
  <si>
    <r>
      <t>4.70</t>
    </r>
    <r>
      <rPr>
        <u/>
        <sz val="11"/>
        <color theme="1"/>
        <rFont val="Calibri"/>
        <family val="2"/>
        <scheme val="minor"/>
      </rPr>
      <t>UknPAS</t>
    </r>
  </si>
  <si>
    <t>5.30UknPAS</t>
  </si>
  <si>
    <t>EMK03</t>
  </si>
  <si>
    <t>CATALOG EDITING COMMENT (W. J. Arabasz)</t>
  </si>
  <si>
    <t>Revised epicenter based on mid-point of Hopper's (2000) MMI VIII isoseismal area.</t>
  </si>
  <si>
    <t>SRA location selected for consistency with isoseismal map of Hopper (2000, Fig. 3)</t>
  </si>
  <si>
    <t>SRA location selected for consistency with isoseismal map of Hopper (2000, Fig.4)</t>
  </si>
  <si>
    <t>SRA location selected for consistency with isoseismal map of Hopper (2000, Fig .6)</t>
  </si>
  <si>
    <t>SRA location is on the western side of Hansel Valley on the Hansel Valley fault (with reasonable precision for an earthquake in 1909)</t>
  </si>
  <si>
    <t>Mag is "Wiechert magnitude" at Reno, calibrated by Jones (1975) to magnitudes of Gutenberg and Richter</t>
  </si>
  <si>
    <t>Location selected for consistency with isoseismal map of Hopper (2000, Fig. 8)</t>
  </si>
  <si>
    <t>Instrumentally located by CGS</t>
  </si>
  <si>
    <t>Location selected for consistency with isoseismal map of Hopper (2000, Fig.5)</t>
  </si>
  <si>
    <t>"Other " MAG</t>
  </si>
  <si>
    <t>ln(FA)</t>
  </si>
  <si>
    <r>
      <t xml:space="preserve">Io </t>
    </r>
    <r>
      <rPr>
        <b/>
        <sz val="11"/>
        <color theme="1"/>
        <rFont val="Calibri"/>
        <family val="2"/>
      </rPr>
      <t>≥</t>
    </r>
    <r>
      <rPr>
        <b/>
        <sz val="8.8000000000000007"/>
        <color theme="1"/>
        <rFont val="Calibri"/>
        <family val="2"/>
      </rPr>
      <t xml:space="preserve"> </t>
    </r>
    <r>
      <rPr>
        <b/>
        <sz val="11"/>
        <color theme="1"/>
        <rFont val="Calibri"/>
        <family val="2"/>
      </rPr>
      <t>5</t>
    </r>
  </si>
  <si>
    <r>
      <t>Io &lt;</t>
    </r>
    <r>
      <rPr>
        <b/>
        <sz val="8.8000000000000007"/>
        <color theme="1"/>
        <rFont val="Calibri"/>
        <family val="2"/>
      </rPr>
      <t xml:space="preserve"> </t>
    </r>
    <r>
      <rPr>
        <b/>
        <sz val="11"/>
        <color theme="1"/>
        <rFont val="Calibri"/>
        <family val="2"/>
      </rPr>
      <t>5</t>
    </r>
  </si>
  <si>
    <r>
      <t>A(IV) km</t>
    </r>
    <r>
      <rPr>
        <b/>
        <vertAlign val="superscript"/>
        <sz val="11"/>
        <color theme="1"/>
        <rFont val="Calibri"/>
        <family val="2"/>
        <scheme val="minor"/>
      </rPr>
      <t>2</t>
    </r>
  </si>
  <si>
    <r>
      <t>A(V) km</t>
    </r>
    <r>
      <rPr>
        <b/>
        <vertAlign val="superscript"/>
        <sz val="11"/>
        <color theme="1"/>
        <rFont val="Calibri"/>
        <family val="2"/>
        <scheme val="minor"/>
      </rPr>
      <t>2</t>
    </r>
  </si>
  <si>
    <r>
      <t>A(VI) km</t>
    </r>
    <r>
      <rPr>
        <b/>
        <vertAlign val="superscript"/>
        <sz val="11"/>
        <color theme="1"/>
        <rFont val="Calibri"/>
        <family val="2"/>
        <scheme val="minor"/>
      </rPr>
      <t>2</t>
    </r>
  </si>
  <si>
    <r>
      <t>A(VII) km</t>
    </r>
    <r>
      <rPr>
        <b/>
        <vertAlign val="superscript"/>
        <sz val="11"/>
        <color theme="1"/>
        <rFont val="Calibri"/>
        <family val="2"/>
        <scheme val="minor"/>
      </rPr>
      <t>2</t>
    </r>
  </si>
  <si>
    <t>HOP</t>
  </si>
  <si>
    <t>MAG Comment (W. J. Arabasz)</t>
  </si>
  <si>
    <t>Combined Variance</t>
  </si>
  <si>
    <t>FA likely underestimated.  Combine AVG A(MMI) and Io.</t>
  </si>
  <si>
    <t>FA likely understimated.  Use Io.</t>
  </si>
  <si>
    <t>UTAH REGION</t>
  </si>
  <si>
    <t>EXTENDED BORDER REGION</t>
  </si>
  <si>
    <t xml:space="preserve">FA is a minimum. Use Io.  </t>
  </si>
  <si>
    <t>Isoseismal map not available.  FA may be underestimated.  Use Io.</t>
  </si>
  <si>
    <t xml:space="preserve">FA may be underestimated.  Combine AVG A(MMI) and Io.  A(Vii) imprecise. </t>
  </si>
  <si>
    <t>FA may be underestimated.  Combine AVG A(MMI), and Io. A(IV) imprecise.</t>
  </si>
  <si>
    <t>FA may be underestimated.  Combine AVG A(MMI) and Io.</t>
  </si>
  <si>
    <t>FA may be underestimated, but it is consistent with E[M|Io].  Decision made not to include FA until after 1930.  Use Io.</t>
  </si>
  <si>
    <t>Combine FA and Io.</t>
  </si>
  <si>
    <t>Combine FA, AVG A(MMI), and Io.  FA measured from Hopper (2000).</t>
  </si>
  <si>
    <t>Combine FA, AVG A(MMI), and Io  FA measured from Hopper (2000).</t>
  </si>
  <si>
    <t xml:space="preserve">Felt area (pre-1930) is consistent with Io but may be underestimated.  Use Io. </t>
  </si>
  <si>
    <r>
      <t xml:space="preserve">Use </t>
    </r>
    <r>
      <rPr>
        <b/>
        <sz val="11"/>
        <color theme="1"/>
        <rFont val="Calibri"/>
        <family val="2"/>
        <scheme val="minor"/>
      </rPr>
      <t>M</t>
    </r>
    <r>
      <rPr>
        <sz val="11"/>
        <color theme="1"/>
        <rFont val="Calibri"/>
        <family val="2"/>
        <scheme val="minor"/>
      </rPr>
      <t xml:space="preserve"> obs</t>
    </r>
  </si>
  <si>
    <t>Use "Other mag"</t>
  </si>
  <si>
    <t xml:space="preserve">Second shock in 1921 Elsinore series.  Smaller than shock on 9/29/1921.  A(VI) shown by Hopper (2000) reasonably constrained.  Size problematical.  Combine A(VI) and Io. </t>
  </si>
  <si>
    <t xml:space="preserve">Third shock in 1921 Elsinore series.  Smaller than shock on 9/29/1921 (see Pack, 1921)?  A(VI) shown by Hopper (2000) reasonably constrained.  Size problematical.  Combine A(VI) and Io. </t>
  </si>
  <si>
    <t>FA may be underestimated.  A(VII) shown by Hopper (2000) may be minimum; she suggests very shallow shock.  Disregard unkown mag until source of mag can be found.  Mainshock mag problematical.  Attenuation of MMI suggests M &lt; 6.  Combine A(VII) and Io.</t>
  </si>
  <si>
    <r>
      <t>M</t>
    </r>
    <r>
      <rPr>
        <vertAlign val="subscript"/>
        <sz val="10"/>
        <color theme="1"/>
        <rFont val="Calibri"/>
        <family val="2"/>
        <scheme val="minor"/>
      </rPr>
      <t xml:space="preserve">I </t>
    </r>
    <r>
      <rPr>
        <sz val="10"/>
        <color theme="1"/>
        <rFont val="Calibri"/>
        <family val="2"/>
        <scheme val="minor"/>
      </rPr>
      <t xml:space="preserve">= 5.5 (5.1-5.7. 95% confidence range) estimated by Bakun (2006).  "sigM" for this estimate was calculated by taking the larger bounding error of Bakun's asymmetrical 95% confidence interval and dividing by 2 to estimate the std. error. </t>
    </r>
  </si>
  <si>
    <t>ML GS</t>
  </si>
  <si>
    <r>
      <t>mb ISC (Nsta</t>
    </r>
    <r>
      <rPr>
        <b/>
        <sz val="11"/>
        <color theme="1"/>
        <rFont val="Calibri"/>
        <family val="2"/>
      </rPr>
      <t>≥</t>
    </r>
    <r>
      <rPr>
        <b/>
        <sz val="8.8000000000000007"/>
        <color theme="1"/>
        <rFont val="Calibri"/>
        <family val="2"/>
      </rPr>
      <t>5)</t>
    </r>
  </si>
  <si>
    <t>Felt/    Damage Flag</t>
  </si>
  <si>
    <t>Mc UU</t>
  </si>
  <si>
    <t>ML UU</t>
  </si>
  <si>
    <t>Nsta (PDE)</t>
  </si>
  <si>
    <t>1962 Magna Earthquake</t>
  </si>
  <si>
    <t>Mw5.02DOS</t>
  </si>
  <si>
    <t>W (rev.)</t>
  </si>
  <si>
    <t>M 5.02 from Doser and Smith (1982) judged to be unreliable because of methodology (see WGUEP text).  ML PAS = 5 (from Earthquake Notes: BSSA, v. 53, no. 1, p. 215)</t>
  </si>
  <si>
    <t>Mpred|Xnon</t>
  </si>
  <si>
    <t>Color coding:</t>
  </si>
  <si>
    <t>= Mpred|Xnon (variance weighting of non-instrumental size measures)</t>
  </si>
  <si>
    <t>= Mpred|Xmix (variance weighting of instrumental and non-instrumental size measures)</t>
  </si>
  <si>
    <t>Mpred|Xmix</t>
  </si>
  <si>
    <t xml:space="preserve">Mag Type  </t>
  </si>
  <si>
    <r>
      <t xml:space="preserve">Mpred A(IV) </t>
    </r>
    <r>
      <rPr>
        <b/>
        <sz val="11"/>
        <color theme="1"/>
        <rFont val="Calibri"/>
        <family val="2"/>
      </rPr>
      <t>σ</t>
    </r>
    <r>
      <rPr>
        <b/>
        <sz val="8.8000000000000007"/>
        <color theme="1"/>
        <rFont val="Calibri"/>
        <family val="2"/>
      </rPr>
      <t>=</t>
    </r>
    <r>
      <rPr>
        <sz val="11"/>
        <color theme="1"/>
        <rFont val="Calibri"/>
        <family val="2"/>
      </rPr>
      <t>0.35</t>
    </r>
  </si>
  <si>
    <r>
      <t xml:space="preserve">Mpred A(V) </t>
    </r>
    <r>
      <rPr>
        <b/>
        <sz val="11"/>
        <color theme="1"/>
        <rFont val="Calibri"/>
        <family val="2"/>
      </rPr>
      <t>σ</t>
    </r>
    <r>
      <rPr>
        <b/>
        <sz val="8.8000000000000007"/>
        <color theme="1"/>
        <rFont val="Calibri"/>
        <family val="2"/>
      </rPr>
      <t>=</t>
    </r>
    <r>
      <rPr>
        <sz val="11"/>
        <color theme="1"/>
        <rFont val="Calibri"/>
        <family val="2"/>
      </rPr>
      <t>0.35</t>
    </r>
  </si>
  <si>
    <r>
      <t xml:space="preserve">Mpred A(VI) </t>
    </r>
    <r>
      <rPr>
        <b/>
        <sz val="11"/>
        <color theme="1"/>
        <rFont val="Calibri"/>
        <family val="2"/>
      </rPr>
      <t>σ</t>
    </r>
    <r>
      <rPr>
        <b/>
        <sz val="8.8000000000000007"/>
        <color theme="1"/>
        <rFont val="Calibri"/>
        <family val="2"/>
      </rPr>
      <t>=</t>
    </r>
    <r>
      <rPr>
        <sz val="11"/>
        <color theme="1"/>
        <rFont val="Calibri"/>
        <family val="2"/>
      </rPr>
      <t>0.35</t>
    </r>
  </si>
  <si>
    <r>
      <t xml:space="preserve">Mpred A(VII) </t>
    </r>
    <r>
      <rPr>
        <b/>
        <sz val="11"/>
        <color theme="1"/>
        <rFont val="Calibri"/>
        <family val="2"/>
      </rPr>
      <t>σ</t>
    </r>
    <r>
      <rPr>
        <b/>
        <sz val="8.8000000000000007"/>
        <color theme="1"/>
        <rFont val="Calibri"/>
        <family val="2"/>
      </rPr>
      <t>=</t>
    </r>
    <r>
      <rPr>
        <sz val="11"/>
        <color theme="1"/>
        <rFont val="Calibri"/>
        <family val="2"/>
      </rPr>
      <t>0.35</t>
    </r>
  </si>
  <si>
    <t>AVG Mpred A(IV-VII)</t>
  </si>
  <si>
    <r>
      <t xml:space="preserve">Mpred    Io </t>
    </r>
    <r>
      <rPr>
        <b/>
        <sz val="11"/>
        <color theme="1"/>
        <rFont val="Calibri"/>
        <family val="2"/>
      </rPr>
      <t xml:space="preserve">&lt; </t>
    </r>
    <r>
      <rPr>
        <b/>
        <sz val="12"/>
        <color theme="1"/>
        <rFont val="Calibri"/>
        <family val="2"/>
      </rPr>
      <t xml:space="preserve">5 </t>
    </r>
    <r>
      <rPr>
        <sz val="12"/>
        <color theme="1"/>
        <rFont val="Calibri"/>
        <family val="2"/>
      </rPr>
      <t xml:space="preserve"> </t>
    </r>
    <r>
      <rPr>
        <sz val="11"/>
        <color theme="1"/>
        <rFont val="Calibri"/>
        <family val="2"/>
      </rPr>
      <t>σ=0.5</t>
    </r>
  </si>
  <si>
    <r>
      <t xml:space="preserve">Mpred    Io </t>
    </r>
    <r>
      <rPr>
        <b/>
        <sz val="11"/>
        <color theme="1"/>
        <rFont val="Calibri"/>
        <family val="2"/>
      </rPr>
      <t xml:space="preserve">≥ </t>
    </r>
    <r>
      <rPr>
        <b/>
        <sz val="12"/>
        <color theme="1"/>
        <rFont val="Calibri"/>
        <family val="2"/>
      </rPr>
      <t xml:space="preserve">5 </t>
    </r>
    <r>
      <rPr>
        <sz val="12"/>
        <color theme="1"/>
        <rFont val="Calibri"/>
        <family val="2"/>
      </rPr>
      <t xml:space="preserve"> </t>
    </r>
    <r>
      <rPr>
        <sz val="11"/>
        <color theme="1"/>
        <rFont val="Calibri"/>
        <family val="2"/>
      </rPr>
      <t>σ=0.5</t>
    </r>
  </si>
  <si>
    <t>Mpred|X</t>
  </si>
  <si>
    <t>Other MAG</t>
  </si>
  <si>
    <t xml:space="preserve">Mpred based on M(I), Bakun (2006)  σ=0.20   </t>
  </si>
  <si>
    <r>
      <t xml:space="preserve">Combine "Other mag" (5.60MLPAS) with Bakun's (2006) estimate of M=5.5 based on MMI attenuation.  Bakun's estimate, arrived at through a maximum-likelihood regression procedure, is treated as </t>
    </r>
    <r>
      <rPr>
        <b/>
        <sz val="9"/>
        <color theme="1"/>
        <rFont val="Calibri"/>
        <family val="2"/>
        <scheme val="minor"/>
      </rPr>
      <t>M~</t>
    </r>
    <r>
      <rPr>
        <sz val="9"/>
        <color theme="1"/>
        <rFont val="Calibri"/>
        <family val="2"/>
        <scheme val="minor"/>
      </rPr>
      <t xml:space="preserve"> (a noisy estimate of </t>
    </r>
    <r>
      <rPr>
        <b/>
        <sz val="9"/>
        <color theme="1"/>
        <rFont val="Calibri"/>
        <family val="2"/>
        <scheme val="minor"/>
      </rPr>
      <t>M</t>
    </r>
    <r>
      <rPr>
        <sz val="9"/>
        <color theme="1"/>
        <rFont val="Calibri"/>
        <family val="2"/>
        <scheme val="minor"/>
      </rPr>
      <t>).</t>
    </r>
  </si>
  <si>
    <r>
      <t xml:space="preserve">Mpred ln(FA) </t>
    </r>
    <r>
      <rPr>
        <b/>
        <sz val="11"/>
        <color theme="1"/>
        <rFont val="Calibri"/>
        <family val="2"/>
      </rPr>
      <t>σ</t>
    </r>
    <r>
      <rPr>
        <b/>
        <sz val="11"/>
        <color theme="1"/>
        <rFont val="Calibri"/>
        <family val="2"/>
        <scheme val="minor"/>
      </rPr>
      <t>=0.339</t>
    </r>
  </si>
  <si>
    <t>BEM</t>
  </si>
  <si>
    <t>Other Mag</t>
  </si>
  <si>
    <t xml:space="preserve">Instrumental information includes ML UU based on a single station (sigM = 0.29),  MLPAS of 5 , and "mb GS" of 5.1.  For best estimate of mag, combine ML UU, ML PAS, FA, AVG A(V, VI), and Io.  All estimates are fairly consistent.  Excluded mb GS because regression is poorly constrained for this period and value is just outside range for the regression.  sigM of 0.267 for ML UU is from a two-step calc that incorporates a sigma of 0.29 for a single-station ML UU. </t>
  </si>
  <si>
    <r>
      <t xml:space="preserve">= Mpred|Io </t>
    </r>
    <r>
      <rPr>
        <b/>
        <sz val="11"/>
        <color theme="1"/>
        <rFont val="Calibri"/>
        <family val="2"/>
        <scheme val="minor"/>
      </rPr>
      <t>(handled in Electronic Supplement E-6)</t>
    </r>
  </si>
  <si>
    <r>
      <t xml:space="preserve">= Mobs </t>
    </r>
    <r>
      <rPr>
        <b/>
        <sz val="11"/>
        <color theme="1"/>
        <rFont val="Calibri"/>
        <family val="2"/>
        <scheme val="minor"/>
      </rPr>
      <t>(handled in Electronic Supplement E-6)</t>
    </r>
  </si>
  <si>
    <r>
      <t xml:space="preserve">= Mpred|M~ </t>
    </r>
    <r>
      <rPr>
        <b/>
        <sz val="11"/>
        <color theme="1"/>
        <rFont val="Calibri"/>
        <family val="2"/>
        <scheme val="minor"/>
      </rPr>
      <t>(handled in Electronic Supplement E-6)</t>
    </r>
    <r>
      <rPr>
        <sz val="11"/>
        <color theme="1"/>
        <rFont val="Calibri"/>
        <family val="2"/>
        <scheme val="minor"/>
      </rPr>
      <t xml:space="preserve"> </t>
    </r>
  </si>
  <si>
    <t xml:space="preserve">WORKBOOK:  </t>
  </si>
  <si>
    <t xml:space="preserve">CATALOG REGION:  </t>
  </si>
  <si>
    <t xml:space="preserve">NOTES:  </t>
  </si>
  <si>
    <t xml:space="preserve">WORKSHEETS:  </t>
  </si>
  <si>
    <t xml:space="preserve">     EBR (Extended Border Region):  Area of the UTREXT outside the UTR</t>
  </si>
  <si>
    <t xml:space="preserve">   For ln(FA) in Column D, red font indicates FA is from Hopper (2000)</t>
  </si>
  <si>
    <t xml:space="preserve">Note:  Reported values of FA prior to about 1930 are likely to be underestimated.  Variance weighting does not include estimates of  FA made  prior to 1930.  </t>
  </si>
  <si>
    <t>Column</t>
  </si>
  <si>
    <t>Field</t>
  </si>
  <si>
    <r>
      <t xml:space="preserve">Explanation </t>
    </r>
    <r>
      <rPr>
        <sz val="11"/>
        <color theme="1"/>
        <rFont val="Calibri"/>
        <family val="2"/>
        <scheme val="minor"/>
      </rPr>
      <t xml:space="preserve"> </t>
    </r>
  </si>
  <si>
    <t>A</t>
  </si>
  <si>
    <t>B</t>
  </si>
  <si>
    <t>C</t>
  </si>
  <si>
    <t>D-J</t>
  </si>
  <si>
    <t>T</t>
  </si>
  <si>
    <t>U</t>
  </si>
  <si>
    <t>V</t>
  </si>
  <si>
    <t>W</t>
  </si>
  <si>
    <t>X-AW</t>
  </si>
  <si>
    <t>"Other" MAG</t>
  </si>
  <si>
    <t>[various]</t>
  </si>
  <si>
    <t>MAG Comment</t>
  </si>
  <si>
    <r>
      <t xml:space="preserve">Magnitude inherited from original source catalog, except for cells highlighted in yellow which are </t>
    </r>
    <r>
      <rPr>
        <b/>
        <sz val="11"/>
        <color theme="1"/>
        <rFont val="Calibri"/>
        <family val="2"/>
        <scheme val="minor"/>
      </rPr>
      <t>M</t>
    </r>
    <r>
      <rPr>
        <vertAlign val="subscript"/>
        <sz val="11"/>
        <color theme="1"/>
        <rFont val="Calibri"/>
        <family val="2"/>
        <scheme val="minor"/>
      </rPr>
      <t>obs</t>
    </r>
  </si>
  <si>
    <r>
      <t xml:space="preserve">Magnitude uncertainty </t>
    </r>
    <r>
      <rPr>
        <i/>
        <sz val="11"/>
        <color theme="1"/>
        <rFont val="Calibri"/>
        <family val="2"/>
      </rPr>
      <t xml:space="preserve">σ </t>
    </r>
    <r>
      <rPr>
        <sz val="11"/>
        <color theme="1"/>
        <rFont val="Calibri"/>
        <family val="2"/>
      </rPr>
      <t>for "Other" MAG</t>
    </r>
  </si>
  <si>
    <t>Available non-instrumental size measures</t>
  </si>
  <si>
    <r>
      <t xml:space="preserve">Values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from individual non-instrumental size measures</t>
    </r>
  </si>
  <si>
    <t xml:space="preserve">Combined variance of size measures specified in Column W (MAG Comment) entering into the calculation of the best-estimate magnitude, calculated using equation E-11 in Appendix E  </t>
  </si>
  <si>
    <r>
      <t xml:space="preserve">Best estimate of </t>
    </r>
    <r>
      <rPr>
        <b/>
        <sz val="11"/>
        <color theme="1"/>
        <rFont val="Calibri"/>
        <family val="2"/>
        <scheme val="minor"/>
      </rPr>
      <t>M</t>
    </r>
    <r>
      <rPr>
        <sz val="11"/>
        <color theme="1"/>
        <rFont val="Calibri"/>
        <family val="2"/>
        <scheme val="minor"/>
      </rPr>
      <t xml:space="preserve"> from a vector </t>
    </r>
    <r>
      <rPr>
        <b/>
        <sz val="11"/>
        <color theme="1"/>
        <rFont val="Calibri"/>
        <family val="2"/>
        <scheme val="minor"/>
      </rPr>
      <t xml:space="preserve">X </t>
    </r>
    <r>
      <rPr>
        <sz val="11"/>
        <color theme="1"/>
        <rFont val="Calibri"/>
        <family val="2"/>
        <scheme val="minor"/>
      </rPr>
      <t xml:space="preserve">of </t>
    </r>
    <r>
      <rPr>
        <i/>
        <sz val="11"/>
        <color theme="1"/>
        <rFont val="Calibri"/>
        <family val="2"/>
        <scheme val="minor"/>
      </rPr>
      <t xml:space="preserve">R </t>
    </r>
    <r>
      <rPr>
        <sz val="11"/>
        <color theme="1"/>
        <rFont val="Calibri"/>
        <family val="2"/>
        <scheme val="minor"/>
      </rPr>
      <t>observed size measures, calculated using equation E-12 of Appendix E</t>
    </r>
  </si>
  <si>
    <r>
      <t xml:space="preserve">Magnitude uncertainty </t>
    </r>
    <r>
      <rPr>
        <i/>
        <sz val="11"/>
        <color theme="1"/>
        <rFont val="Calibri"/>
        <family val="2"/>
      </rPr>
      <t xml:space="preserve">σ </t>
    </r>
    <r>
      <rPr>
        <sz val="11"/>
        <color theme="1"/>
        <rFont val="Calibri"/>
        <family val="2"/>
      </rPr>
      <t xml:space="preserve">associated with </t>
    </r>
    <r>
      <rPr>
        <b/>
        <sz val="11"/>
        <color theme="1"/>
        <rFont val="Calibri"/>
        <family val="2"/>
      </rPr>
      <t>M</t>
    </r>
    <r>
      <rPr>
        <vertAlign val="subscript"/>
        <sz val="11"/>
        <color theme="1"/>
        <rFont val="Calibri"/>
        <family val="2"/>
      </rPr>
      <t xml:space="preserve">pred </t>
    </r>
    <r>
      <rPr>
        <sz val="11"/>
        <color theme="1"/>
        <rFont val="Calibri"/>
        <family val="2"/>
      </rPr>
      <t>|</t>
    </r>
    <r>
      <rPr>
        <b/>
        <sz val="11"/>
        <color theme="1"/>
        <rFont val="Calibri"/>
        <family val="2"/>
      </rPr>
      <t xml:space="preserve">X </t>
    </r>
    <r>
      <rPr>
        <sz val="11"/>
        <color theme="1"/>
        <rFont val="Calibri"/>
        <family val="2"/>
      </rPr>
      <t>(where inverse-variance weighting is used, sigM equals the square root of the combined variance)</t>
    </r>
  </si>
  <si>
    <t>Line-event information imported from culled subcatalog A (Electronic Supplement E-3)</t>
  </si>
  <si>
    <t>K-U</t>
  </si>
  <si>
    <t>X</t>
  </si>
  <si>
    <t>Y</t>
  </si>
  <si>
    <t xml:space="preserve">Combined variance of size measures specified in Column Y (MAG Comment) entering into the calculation of the best-estimate magnitude, calculated using equation E-11 in Appendix E  </t>
  </si>
  <si>
    <t>Z-BC</t>
  </si>
  <si>
    <t>Line-event information imported from culled subcatalog B (Electronic Supplement E-4)</t>
  </si>
  <si>
    <t>Columns (Fields) are identical to those used in the BEM Catalog (Electronic Supplement E-1)</t>
  </si>
  <si>
    <r>
      <rPr>
        <b/>
        <sz val="11"/>
        <color theme="1"/>
        <rFont val="Calibri"/>
        <family val="2"/>
        <scheme val="minor"/>
      </rPr>
      <t>Explanation of Columns (Fields)</t>
    </r>
    <r>
      <rPr>
        <sz val="11"/>
        <color theme="1"/>
        <rFont val="Calibri"/>
        <family val="2"/>
        <scheme val="minor"/>
      </rPr>
      <t xml:space="preserve"> -- Provides an explanation of the columns (fields) used in each of the worksheets</t>
    </r>
  </si>
  <si>
    <r>
      <t xml:space="preserve">Comment by W.J. Arabasz regarding the calculation of </t>
    </r>
    <r>
      <rPr>
        <b/>
        <sz val="11"/>
        <color theme="1"/>
        <rFont val="Calibri"/>
        <family val="2"/>
        <scheme val="minor"/>
      </rPr>
      <t>M</t>
    </r>
    <r>
      <rPr>
        <vertAlign val="subscript"/>
        <sz val="11"/>
        <color theme="1"/>
        <rFont val="Calibri"/>
        <family val="2"/>
        <scheme val="minor"/>
      </rPr>
      <t>pred</t>
    </r>
    <r>
      <rPr>
        <sz val="11"/>
        <color theme="1"/>
        <rFont val="Calibri"/>
        <family val="2"/>
        <scheme val="minor"/>
      </rPr>
      <t>|</t>
    </r>
    <r>
      <rPr>
        <b/>
        <sz val="11"/>
        <color theme="1"/>
        <rFont val="Calibri"/>
        <family val="2"/>
        <scheme val="minor"/>
      </rPr>
      <t xml:space="preserve">X </t>
    </r>
    <r>
      <rPr>
        <sz val="11"/>
        <color theme="1"/>
        <rFont val="Calibri"/>
        <family val="2"/>
        <scheme val="minor"/>
      </rPr>
      <t>(specifies which size measures are to be used for the calculation of a best-estimate magnitude)</t>
    </r>
  </si>
  <si>
    <r>
      <t xml:space="preserve">Comment by W.J. Arabasz regarding the calculation of </t>
    </r>
    <r>
      <rPr>
        <b/>
        <sz val="11"/>
        <color theme="1"/>
        <rFont val="Calibri"/>
        <family val="2"/>
        <scheme val="minor"/>
      </rPr>
      <t>M</t>
    </r>
    <r>
      <rPr>
        <vertAlign val="subscript"/>
        <sz val="11"/>
        <color theme="1"/>
        <rFont val="Calibri"/>
        <family val="2"/>
        <scheme val="minor"/>
      </rPr>
      <t>pred</t>
    </r>
    <r>
      <rPr>
        <sz val="11"/>
        <color theme="1"/>
        <rFont val="Calibri"/>
        <family val="2"/>
        <scheme val="minor"/>
      </rPr>
      <t>|</t>
    </r>
    <r>
      <rPr>
        <b/>
        <sz val="11"/>
        <color theme="1"/>
        <rFont val="Calibri"/>
        <family val="2"/>
        <scheme val="minor"/>
      </rPr>
      <t xml:space="preserve">X </t>
    </r>
    <r>
      <rPr>
        <sz val="11"/>
        <color theme="1"/>
        <rFont val="Calibri"/>
        <family val="2"/>
        <scheme val="minor"/>
      </rPr>
      <t>(specifies which size measures are to be used for the calculation of the best-estimate magnitude)</t>
    </r>
  </si>
  <si>
    <r>
      <t xml:space="preserve">Summary from Calcs </t>
    </r>
    <r>
      <rPr>
        <sz val="11"/>
        <color theme="1"/>
        <rFont val="Calibri"/>
        <family val="2"/>
        <scheme val="minor"/>
      </rPr>
      <t xml:space="preserve">-- Aggregate of event lines from calculations of Mpred|Xnon and Mpred|Xmix  </t>
    </r>
  </si>
  <si>
    <r>
      <t xml:space="preserve">For Export--BEM_Xnon, Xmix </t>
    </r>
    <r>
      <rPr>
        <sz val="11"/>
        <color theme="1"/>
        <rFont val="Calibri"/>
        <family val="2"/>
        <scheme val="minor"/>
      </rPr>
      <t>-- Provides a list of event lines, chronologically sorted and formatted in the format of the final BEM catalog, for export to the clustered BEM catalog (Electronic Supplement E-1)</t>
    </r>
  </si>
  <si>
    <t>Original source of the event line inherited from merged subcatalog A (Electronic Supplement E-3)</t>
  </si>
  <si>
    <t>E-7.  Worksheets for Xnon, Xmix (Subcatalogs A, B)</t>
  </si>
  <si>
    <t xml:space="preserve">Long </t>
  </si>
  <si>
    <t xml:space="preserve">Lat </t>
  </si>
  <si>
    <t>Long</t>
  </si>
  <si>
    <t>Lat</t>
  </si>
  <si>
    <t xml:space="preserve">DATABASE VERSION:  </t>
  </si>
  <si>
    <t>March 21, 2014</t>
  </si>
  <si>
    <r>
      <t xml:space="preserve">UTREXT (Extended Utah Region):  36.000 to </t>
    </r>
    <r>
      <rPr>
        <sz val="11"/>
        <color theme="1"/>
        <rFont val="Calibri"/>
        <family val="2"/>
      </rPr>
      <t>43.500 deg N, 108.000 to 115.000 deg W</t>
    </r>
  </si>
  <si>
    <t xml:space="preserve">     UTR (Utah Region): 36.750 to 42.500 deg N, 108.750 to 114.250 deg W</t>
  </si>
  <si>
    <r>
      <t xml:space="preserve">The worksheets in this workbook are literally "work" sheets that were used in the multi-step process of constructing the BEM earthquake catalog.  The worksheets allow examination of calculations of  best-estimate moment magnitudes for earthquakes in the catalog whose "Mag Type" is either Mpred|Xnon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non-instrumental size measures) or Mpred|Xmix (inverse-variance weighting of</t>
    </r>
    <r>
      <rPr>
        <b/>
        <sz val="11"/>
        <color theme="1"/>
        <rFont val="Calibri"/>
        <family val="2"/>
        <scheme val="minor"/>
      </rPr>
      <t xml:space="preserve"> M</t>
    </r>
    <r>
      <rPr>
        <vertAlign val="subscript"/>
        <sz val="11"/>
        <color theme="1"/>
        <rFont val="Calibri"/>
        <family val="2"/>
        <scheme val="minor"/>
      </rPr>
      <t>pred</t>
    </r>
    <r>
      <rPr>
        <sz val="11"/>
        <color theme="1"/>
        <rFont val="Calibri"/>
        <family val="2"/>
        <scheme val="minor"/>
      </rPr>
      <t xml:space="preserve"> values from a mix of non-instrumental and instrumental size measures).  The calculations apply to 16 earthquakes between 1900 and 1962.  </t>
    </r>
  </si>
  <si>
    <t>Original source of the event line inherited from merged subcatalog B (Electronic Supplement E-4)</t>
  </si>
  <si>
    <t>K</t>
  </si>
  <si>
    <t xml:space="preserve">Duplicate of column B (two decimal places) </t>
  </si>
  <si>
    <t>L-S</t>
  </si>
  <si>
    <r>
      <t>Mpred     Other MAG        5.0 ML UU (</t>
    </r>
    <r>
      <rPr>
        <b/>
        <sz val="11"/>
        <color theme="1"/>
        <rFont val="Calibri"/>
        <family val="2"/>
      </rPr>
      <t>σ</t>
    </r>
    <r>
      <rPr>
        <b/>
        <sz val="9.9"/>
        <color theme="1"/>
        <rFont val="Calibri"/>
        <family val="2"/>
      </rPr>
      <t>=0.267)</t>
    </r>
  </si>
  <si>
    <r>
      <t>Mpred        M~              5.0 ML PAS (</t>
    </r>
    <r>
      <rPr>
        <b/>
        <sz val="11"/>
        <color theme="1"/>
        <rFont val="Calibri"/>
        <family val="2"/>
      </rPr>
      <t>σ</t>
    </r>
    <r>
      <rPr>
        <b/>
        <sz val="9.9"/>
        <color theme="1"/>
        <rFont val="Calibri"/>
        <family val="2"/>
      </rPr>
      <t>=0.20)</t>
    </r>
  </si>
  <si>
    <r>
      <t>Mpred   Other MAG           5.1 mb GS  (</t>
    </r>
    <r>
      <rPr>
        <b/>
        <sz val="11"/>
        <color theme="1"/>
        <rFont val="Calibri"/>
        <family val="2"/>
      </rPr>
      <t>σ</t>
    </r>
    <r>
      <rPr>
        <b/>
        <sz val="9.9"/>
        <color theme="1"/>
        <rFont val="Calibri"/>
        <family val="2"/>
      </rPr>
      <t>=0.401)</t>
    </r>
  </si>
  <si>
    <t>5.0 (ML PAS)</t>
  </si>
  <si>
    <r>
      <t xml:space="preserve">Values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from individual instrumental and non-instrumental size measures</t>
    </r>
  </si>
  <si>
    <r>
      <t>CALCS Subcatalog B--Xmix</t>
    </r>
    <r>
      <rPr>
        <b/>
        <vertAlign val="subscript"/>
        <sz val="11"/>
        <color theme="1"/>
        <rFont val="Calibri"/>
        <family val="2"/>
        <scheme val="minor"/>
      </rPr>
      <t xml:space="preserve"> </t>
    </r>
    <r>
      <rPr>
        <sz val="11"/>
        <color theme="1"/>
        <rFont val="Calibri"/>
        <family val="2"/>
        <scheme val="minor"/>
      </rPr>
      <t xml:space="preserve">-- Data and calculations for one earthquake in subcatalog B whose best-estimate moment magnitude is based on Mpred|Xmix (color coded in red)   </t>
    </r>
  </si>
  <si>
    <r>
      <t>CALCS Subcatalog A--Xnon, Xmix</t>
    </r>
    <r>
      <rPr>
        <b/>
        <vertAlign val="subscript"/>
        <sz val="11"/>
        <color theme="1"/>
        <rFont val="Calibri"/>
        <family val="2"/>
        <scheme val="minor"/>
      </rPr>
      <t xml:space="preserve"> </t>
    </r>
    <r>
      <rPr>
        <b/>
        <sz val="11"/>
        <color theme="1"/>
        <rFont val="Calibri"/>
        <family val="2"/>
        <scheme val="minor"/>
      </rPr>
      <t xml:space="preserve">-- </t>
    </r>
    <r>
      <rPr>
        <sz val="11"/>
        <color theme="1"/>
        <rFont val="Calibri"/>
        <family val="2"/>
        <scheme val="minor"/>
      </rPr>
      <t>Data and calculations for 15 earthquakes in subcatalog A whose best-estimate moment magnitudes are based either on Mpred|Xnon (color coded in pink) or Mpred|Xmix (color coded in red).   [Note: The worksheet includes 30 earthquakes for which some type of non-instrumental size measure besides I</t>
    </r>
    <r>
      <rPr>
        <vertAlign val="subscript"/>
        <sz val="11"/>
        <color theme="1"/>
        <rFont val="Calibri"/>
        <family val="2"/>
        <scheme val="minor"/>
      </rPr>
      <t>0</t>
    </r>
    <r>
      <rPr>
        <sz val="11"/>
        <color theme="1"/>
        <rFont val="Calibri"/>
        <family val="2"/>
        <scheme val="minor"/>
      </rPr>
      <t xml:space="preserve"> is available; however, for reasons explained in the Mag Comment, the best-estimate moment magnitude for 15 of these is assigned from either </t>
    </r>
    <r>
      <rPr>
        <b/>
        <sz val="11"/>
        <color theme="1"/>
        <rFont val="Calibri"/>
        <family val="2"/>
        <scheme val="minor"/>
      </rPr>
      <t>M</t>
    </r>
    <r>
      <rPr>
        <vertAlign val="subscript"/>
        <sz val="11"/>
        <color theme="1"/>
        <rFont val="Calibri"/>
        <family val="2"/>
        <scheme val="minor"/>
      </rPr>
      <t>obs</t>
    </r>
    <r>
      <rPr>
        <b/>
        <sz val="11"/>
        <color theme="1"/>
        <rFont val="Calibri"/>
        <family val="2"/>
        <scheme val="minor"/>
      </rPr>
      <t xml:space="preserve"> </t>
    </r>
    <r>
      <rPr>
        <sz val="11"/>
        <color theme="1"/>
        <rFont val="Calibri"/>
        <family val="2"/>
        <scheme val="minor"/>
      </rPr>
      <t xml:space="preserve">(color coded in yellow), </t>
    </r>
    <r>
      <rPr>
        <b/>
        <sz val="11"/>
        <color theme="1"/>
        <rFont val="Calibri"/>
        <family val="2"/>
        <scheme val="minor"/>
      </rPr>
      <t>M~</t>
    </r>
    <r>
      <rPr>
        <sz val="11"/>
        <color theme="1"/>
        <rFont val="Calibri"/>
        <family val="2"/>
        <scheme val="minor"/>
      </rPr>
      <t xml:space="preserve"> (color coded in blue), or </t>
    </r>
    <r>
      <rPr>
        <b/>
        <sz val="11"/>
        <color theme="1"/>
        <rFont val="Calibri"/>
        <family val="2"/>
        <scheme val="minor"/>
      </rPr>
      <t>M</t>
    </r>
    <r>
      <rPr>
        <vertAlign val="subscript"/>
        <sz val="11"/>
        <color theme="1"/>
        <rFont val="Calibri"/>
        <family val="2"/>
        <scheme val="minor"/>
      </rPr>
      <t>pred</t>
    </r>
    <r>
      <rPr>
        <sz val="11"/>
        <color theme="1"/>
        <rFont val="Calibri"/>
        <family val="2"/>
        <scheme val="minor"/>
      </rPr>
      <t>|I</t>
    </r>
    <r>
      <rPr>
        <vertAlign val="subscript"/>
        <sz val="11"/>
        <color theme="1"/>
        <rFont val="Calibri"/>
        <family val="2"/>
        <scheme val="minor"/>
      </rPr>
      <t>0</t>
    </r>
    <r>
      <rPr>
        <sz val="11"/>
        <color theme="1"/>
        <rFont val="Calibri"/>
        <family val="2"/>
        <scheme val="minor"/>
      </rPr>
      <t xml:space="preserve"> (color coded in brown).]</t>
    </r>
  </si>
  <si>
    <t xml:space="preserve">Explanation of Columns (Fields) for Worksheet: "Calcs Cat A--Xnon,Xmix" </t>
  </si>
  <si>
    <t xml:space="preserve">Explanation of Columns (Fields) for Worksheet: "Calcs Cat B--Xmix" </t>
  </si>
  <si>
    <t xml:space="preserve">Explanation of Columns (Fields) for Worksheets: "Summary from Calcs, For Export--BEM_Xnon,Xmix" and "For Export--BEM_Xnon, Xmix" </t>
  </si>
  <si>
    <t xml:space="preserve">SUBREGIONS:  </t>
  </si>
  <si>
    <r>
      <t xml:space="preserve">This Excel workbook contains worksheeets used as building blocks for the BEM earthquake catalog described by Arabasz and others (2016) in Appendix E of the final report of the Working Group on Utah Earthquake Probabilities (WGUEP, 2016).  </t>
    </r>
    <r>
      <rPr>
        <b/>
        <sz val="11"/>
        <color theme="1"/>
        <rFont val="Calibri"/>
        <family val="2"/>
        <scheme val="minor"/>
      </rPr>
      <t xml:space="preserve">References for all citations used are given in that appendix.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</si>
</sst>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
      <name val="Calibri"/>
      <family val="2"/>
      <scheme val="minor"/>
    </font>
    <font>
      <strike/>
      <sz val="11"/>
      <color theme="1"/>
      <name val="Calibri"/>
      <family val="2"/>
      <scheme val="minor"/>
    </font>
    <font>
      <sz val="10"/>
      <color theme="1"/>
      <name val="Calibri"/>
      <family val="2"/>
      <scheme val="minor"/>
    </font>
    <font>
      <sz val="11"/>
      <color theme="1"/>
      <name val="Calibri"/>
      <family val="2"/>
    </font>
    <font>
      <vertAlign val="subscript"/>
      <sz val="10"/>
      <color theme="1"/>
      <name val="Calibri"/>
      <family val="2"/>
      <scheme val="minor"/>
    </font>
    <font>
      <b/>
      <i/>
      <sz val="11"/>
      <color theme="1"/>
      <name val="Calibri"/>
      <family val="2"/>
      <scheme val="minor"/>
    </font>
    <font>
      <sz val="9"/>
      <color theme="1"/>
      <name val="Calibri"/>
      <family val="2"/>
      <scheme val="minor"/>
    </font>
    <font>
      <b/>
      <sz val="11"/>
      <color theme="1"/>
      <name val="Calibri"/>
      <family val="2"/>
    </font>
    <font>
      <b/>
      <sz val="8.8000000000000007"/>
      <color theme="1"/>
      <name val="Calibri"/>
      <family val="2"/>
    </font>
    <font>
      <b/>
      <vertAlign val="superscript"/>
      <sz val="11"/>
      <color theme="1"/>
      <name val="Calibri"/>
      <family val="2"/>
      <scheme val="minor"/>
    </font>
    <font>
      <b/>
      <sz val="12"/>
      <color theme="1"/>
      <name val="Calibri"/>
      <family val="2"/>
    </font>
    <font>
      <sz val="11"/>
      <color rgb="FF0070C0"/>
      <name val="Calibri"/>
      <family val="2"/>
      <scheme val="minor"/>
    </font>
    <font>
      <sz val="12"/>
      <color theme="1"/>
      <name val="Calibri"/>
      <family val="2"/>
    </font>
    <font>
      <b/>
      <sz val="9.9"/>
      <color theme="1"/>
      <name val="Calibri"/>
      <family val="2"/>
    </font>
    <font>
      <b/>
      <sz val="9"/>
      <color theme="1"/>
      <name val="Calibri"/>
      <family val="2"/>
      <scheme val="minor"/>
    </font>
    <font>
      <sz val="11"/>
      <color rgb="FFFFFF00"/>
      <name val="Calibri"/>
      <family val="2"/>
      <scheme val="minor"/>
    </font>
    <font>
      <b/>
      <vertAlign val="subscript"/>
      <sz val="11"/>
      <color theme="1"/>
      <name val="Calibri"/>
      <family val="2"/>
      <scheme val="minor"/>
    </font>
    <font>
      <vertAlign val="subscript"/>
      <sz val="11"/>
      <color theme="1"/>
      <name val="Calibri"/>
      <family val="2"/>
      <scheme val="minor"/>
    </font>
    <font>
      <i/>
      <sz val="11"/>
      <color theme="1"/>
      <name val="Calibri"/>
      <family val="2"/>
      <scheme val="minor"/>
    </font>
    <font>
      <i/>
      <sz val="11"/>
      <color theme="1"/>
      <name val="Calibri"/>
      <family val="2"/>
    </font>
    <font>
      <vertAlign val="subscript"/>
      <sz val="11"/>
      <color theme="1"/>
      <name val="Calibri"/>
      <family val="2"/>
    </font>
    <font>
      <sz val="8"/>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rgb="FFCCECFF"/>
        <bgColor indexed="64"/>
      </patternFill>
    </fill>
    <fill>
      <patternFill patternType="solid">
        <fgColor rgb="FFFFCCFF"/>
        <bgColor indexed="64"/>
      </patternFill>
    </fill>
    <fill>
      <patternFill patternType="solid">
        <fgColor theme="2" tint="-0.249977111117893"/>
        <bgColor indexed="64"/>
      </patternFill>
    </fill>
    <fill>
      <patternFill patternType="solid">
        <fgColor rgb="FF92D05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
      <left style="thin">
        <color auto="1"/>
      </left>
      <right/>
      <top/>
      <bottom/>
      <diagonal/>
    </border>
    <border>
      <left style="thin">
        <color auto="1"/>
      </left>
      <right/>
      <top/>
      <bottom style="medium">
        <color auto="1"/>
      </bottom>
      <diagonal/>
    </border>
    <border>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rgb="FFFF0000"/>
      </left>
      <right/>
      <top style="medium">
        <color rgb="FFFF0000"/>
      </top>
      <bottom style="medium">
        <color auto="1"/>
      </bottom>
      <diagonal/>
    </border>
    <border>
      <left/>
      <right/>
      <top style="medium">
        <color rgb="FFFF0000"/>
      </top>
      <bottom style="medium">
        <color auto="1"/>
      </bottom>
      <diagonal/>
    </border>
    <border>
      <left/>
      <right style="medium">
        <color rgb="FFFF0000"/>
      </right>
      <top style="medium">
        <color rgb="FFFF0000"/>
      </top>
      <bottom style="medium">
        <color auto="1"/>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style="medium">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5">
    <xf numFmtId="0" fontId="0" fillId="0" borderId="0" xfId="0"/>
    <xf numFmtId="165" fontId="0" fillId="0" borderId="0" xfId="0" applyNumberFormat="1"/>
    <xf numFmtId="164" fontId="0" fillId="0" borderId="0" xfId="0" applyNumberFormat="1" applyAlignment="1">
      <alignment horizontal="center"/>
    </xf>
    <xf numFmtId="2" fontId="0" fillId="0" borderId="0" xfId="0" applyNumberFormat="1"/>
    <xf numFmtId="0" fontId="0" fillId="0" borderId="0" xfId="0" applyAlignment="1">
      <alignment horizontal="center"/>
    </xf>
    <xf numFmtId="0" fontId="0" fillId="0" borderId="0" xfId="0" applyAlignment="1">
      <alignment horizontal="right"/>
    </xf>
    <xf numFmtId="0" fontId="16" fillId="0" borderId="0" xfId="0" applyFont="1"/>
    <xf numFmtId="165" fontId="16" fillId="0" borderId="10" xfId="0" applyNumberFormat="1" applyFont="1" applyBorder="1" applyAlignment="1">
      <alignment horizontal="center"/>
    </xf>
    <xf numFmtId="0" fontId="16" fillId="0" borderId="10" xfId="0" applyFont="1" applyBorder="1" applyAlignment="1">
      <alignment horizontal="center"/>
    </xf>
    <xf numFmtId="0" fontId="16" fillId="0" borderId="10" xfId="0" applyFont="1" applyBorder="1" applyAlignment="1">
      <alignment horizontal="right"/>
    </xf>
    <xf numFmtId="2" fontId="16" fillId="0" borderId="10" xfId="0" applyNumberFormat="1" applyFont="1" applyBorder="1" applyAlignment="1">
      <alignment horizontal="right"/>
    </xf>
    <xf numFmtId="0" fontId="16" fillId="0" borderId="10" xfId="0" applyFont="1" applyBorder="1" applyAlignment="1">
      <alignment horizontal="center" wrapText="1"/>
    </xf>
    <xf numFmtId="165" fontId="16" fillId="0" borderId="10" xfId="0" applyNumberFormat="1" applyFont="1" applyBorder="1" applyAlignment="1">
      <alignment horizontal="right"/>
    </xf>
    <xf numFmtId="0" fontId="18" fillId="0" borderId="0" xfId="0" applyFont="1" applyAlignment="1">
      <alignment horizontal="center"/>
    </xf>
    <xf numFmtId="0" fontId="18" fillId="0" borderId="0" xfId="0" applyFont="1" applyAlignment="1">
      <alignment horizontal="right"/>
    </xf>
    <xf numFmtId="0" fontId="0" fillId="0" borderId="0" xfId="0" applyFont="1"/>
    <xf numFmtId="0" fontId="0" fillId="0" borderId="0" xfId="0" applyAlignment="1">
      <alignment horizontal="left"/>
    </xf>
    <xf numFmtId="11" fontId="0" fillId="0" borderId="0" xfId="0" applyNumberFormat="1" applyAlignment="1">
      <alignment horizontal="center"/>
    </xf>
    <xf numFmtId="11" fontId="16" fillId="0" borderId="10" xfId="0" applyNumberFormat="1" applyFont="1" applyBorder="1" applyAlignment="1">
      <alignment horizontal="center" wrapText="1"/>
    </xf>
    <xf numFmtId="0" fontId="16" fillId="0" borderId="10" xfId="0" applyFont="1" applyBorder="1" applyAlignment="1">
      <alignment horizontal="left"/>
    </xf>
    <xf numFmtId="2" fontId="0" fillId="0" borderId="0" xfId="0" applyNumberFormat="1" applyAlignment="1">
      <alignment horizontal="center"/>
    </xf>
    <xf numFmtId="165" fontId="18" fillId="0" borderId="0" xfId="0" applyNumberFormat="1" applyFont="1" applyBorder="1" applyAlignment="1">
      <alignment horizontal="right"/>
    </xf>
    <xf numFmtId="0" fontId="0" fillId="33" borderId="0" xfId="0" applyFill="1" applyAlignment="1">
      <alignment horizontal="left"/>
    </xf>
    <xf numFmtId="2" fontId="18" fillId="0" borderId="0" xfId="0" applyNumberFormat="1" applyFont="1" applyFill="1" applyAlignment="1">
      <alignment horizontal="right"/>
    </xf>
    <xf numFmtId="165" fontId="0" fillId="0" borderId="0" xfId="0" applyNumberFormat="1" applyAlignment="1">
      <alignment horizontal="right"/>
    </xf>
    <xf numFmtId="0" fontId="20" fillId="0" borderId="0" xfId="0" applyFont="1"/>
    <xf numFmtId="0" fontId="21" fillId="0" borderId="0" xfId="0" applyFont="1" applyAlignment="1">
      <alignment wrapText="1"/>
    </xf>
    <xf numFmtId="0" fontId="0" fillId="0" borderId="0" xfId="0" applyFill="1" applyAlignment="1">
      <alignment horizontal="center"/>
    </xf>
    <xf numFmtId="164" fontId="0" fillId="0" borderId="0" xfId="0" applyNumberFormat="1" applyFill="1" applyAlignment="1">
      <alignment horizontal="center"/>
    </xf>
    <xf numFmtId="165" fontId="0" fillId="0" borderId="0" xfId="0" applyNumberFormat="1" applyFill="1"/>
    <xf numFmtId="0" fontId="0" fillId="0" borderId="0" xfId="0" applyFill="1" applyAlignment="1">
      <alignment horizontal="right"/>
    </xf>
    <xf numFmtId="0" fontId="0" fillId="0" borderId="0" xfId="0" applyFill="1"/>
    <xf numFmtId="2" fontId="0" fillId="0" borderId="0" xfId="0" applyNumberFormat="1" applyFill="1"/>
    <xf numFmtId="11" fontId="0" fillId="0" borderId="0" xfId="0" applyNumberFormat="1" applyFill="1" applyAlignment="1">
      <alignment horizontal="center"/>
    </xf>
    <xf numFmtId="0" fontId="21" fillId="0" borderId="0" xfId="0" applyFont="1" applyFill="1" applyAlignment="1">
      <alignment wrapText="1"/>
    </xf>
    <xf numFmtId="0" fontId="21" fillId="0" borderId="0" xfId="0" applyFont="1" applyFill="1"/>
    <xf numFmtId="2" fontId="18" fillId="33" borderId="0" xfId="0" applyNumberFormat="1" applyFont="1" applyFill="1" applyAlignment="1">
      <alignment horizontal="center"/>
    </xf>
    <xf numFmtId="2" fontId="0" fillId="33" borderId="0" xfId="0" applyNumberFormat="1" applyFill="1" applyAlignment="1">
      <alignment horizontal="center"/>
    </xf>
    <xf numFmtId="0" fontId="24" fillId="0" borderId="0" xfId="0" applyFont="1"/>
    <xf numFmtId="0" fontId="0" fillId="34" borderId="0" xfId="0" applyFill="1" applyAlignment="1">
      <alignment horizontal="left"/>
    </xf>
    <xf numFmtId="0" fontId="0" fillId="34" borderId="0" xfId="0" applyFill="1"/>
    <xf numFmtId="165" fontId="16" fillId="0" borderId="0" xfId="0" applyNumberFormat="1" applyFont="1" applyBorder="1" applyAlignment="1">
      <alignment horizontal="right"/>
    </xf>
    <xf numFmtId="165" fontId="16" fillId="0" borderId="0" xfId="0" applyNumberFormat="1" applyFont="1" applyBorder="1" applyAlignment="1">
      <alignment horizontal="center"/>
    </xf>
    <xf numFmtId="0" fontId="16" fillId="0" borderId="0" xfId="0" applyFont="1" applyBorder="1" applyAlignment="1">
      <alignment horizontal="center"/>
    </xf>
    <xf numFmtId="0" fontId="16" fillId="0" borderId="0" xfId="0" applyFont="1" applyBorder="1" applyAlignment="1">
      <alignment horizontal="right"/>
    </xf>
    <xf numFmtId="2" fontId="16" fillId="0" borderId="0" xfId="0" applyNumberFormat="1" applyFont="1" applyBorder="1" applyAlignment="1">
      <alignment horizontal="right"/>
    </xf>
    <xf numFmtId="0" fontId="16" fillId="0" borderId="0" xfId="0" applyFont="1" applyBorder="1" applyAlignment="1">
      <alignment horizontal="center" wrapText="1"/>
    </xf>
    <xf numFmtId="11" fontId="16" fillId="0" borderId="0" xfId="0" applyNumberFormat="1" applyFont="1" applyBorder="1" applyAlignment="1">
      <alignment horizontal="center" wrapText="1"/>
    </xf>
    <xf numFmtId="0" fontId="24" fillId="0" borderId="0" xfId="0" applyFont="1" applyBorder="1" applyAlignment="1">
      <alignment horizontal="center"/>
    </xf>
    <xf numFmtId="2" fontId="16" fillId="0" borderId="10" xfId="0" applyNumberFormat="1" applyFont="1" applyBorder="1" applyAlignment="1">
      <alignment horizontal="center"/>
    </xf>
    <xf numFmtId="2" fontId="24" fillId="0" borderId="0" xfId="0" applyNumberFormat="1" applyFont="1" applyBorder="1" applyAlignment="1">
      <alignment horizontal="center"/>
    </xf>
    <xf numFmtId="2" fontId="0" fillId="0" borderId="0" xfId="0" applyNumberFormat="1" applyFill="1" applyAlignment="1">
      <alignment horizontal="center"/>
    </xf>
    <xf numFmtId="2" fontId="0" fillId="33" borderId="11" xfId="0" applyNumberFormat="1" applyFill="1" applyBorder="1" applyAlignment="1">
      <alignment horizontal="center"/>
    </xf>
    <xf numFmtId="2" fontId="0" fillId="0" borderId="11" xfId="0" applyNumberFormat="1" applyBorder="1" applyAlignment="1">
      <alignment horizontal="center"/>
    </xf>
    <xf numFmtId="165" fontId="24" fillId="0" borderId="0" xfId="0" applyNumberFormat="1" applyFont="1" applyBorder="1" applyAlignment="1">
      <alignment horizontal="center"/>
    </xf>
    <xf numFmtId="165" fontId="0" fillId="0" borderId="0" xfId="0" applyNumberFormat="1" applyAlignment="1">
      <alignment horizontal="center"/>
    </xf>
    <xf numFmtId="3" fontId="16" fillId="0" borderId="10" xfId="0" applyNumberFormat="1" applyFont="1" applyBorder="1" applyAlignment="1">
      <alignment horizontal="center"/>
    </xf>
    <xf numFmtId="3" fontId="24" fillId="0" borderId="0" xfId="0" applyNumberFormat="1" applyFont="1" applyBorder="1" applyAlignment="1">
      <alignment horizontal="center"/>
    </xf>
    <xf numFmtId="3" fontId="0" fillId="0" borderId="0" xfId="0" applyNumberFormat="1" applyAlignment="1">
      <alignment horizontal="center"/>
    </xf>
    <xf numFmtId="165" fontId="14" fillId="0" borderId="0" xfId="0" applyNumberFormat="1" applyFont="1" applyAlignment="1">
      <alignment horizontal="center"/>
    </xf>
    <xf numFmtId="11" fontId="14" fillId="0" borderId="0" xfId="0" applyNumberFormat="1" applyFont="1" applyAlignment="1">
      <alignment horizontal="center"/>
    </xf>
    <xf numFmtId="0" fontId="14" fillId="0" borderId="0" xfId="0" applyFont="1" applyAlignment="1">
      <alignment horizontal="center"/>
    </xf>
    <xf numFmtId="11" fontId="14" fillId="0" borderId="0" xfId="0" applyNumberFormat="1" applyFont="1" applyFill="1" applyAlignment="1">
      <alignment horizontal="center"/>
    </xf>
    <xf numFmtId="2" fontId="16" fillId="0" borderId="10" xfId="0" applyNumberFormat="1" applyFont="1" applyBorder="1" applyAlignment="1">
      <alignment horizontal="center" wrapText="1"/>
    </xf>
    <xf numFmtId="0" fontId="18" fillId="0" borderId="0" xfId="0" applyFont="1"/>
    <xf numFmtId="2" fontId="16" fillId="0" borderId="12" xfId="0" applyNumberFormat="1" applyFont="1" applyBorder="1" applyAlignment="1">
      <alignment horizontal="center" wrapText="1"/>
    </xf>
    <xf numFmtId="2" fontId="24" fillId="0" borderId="11" xfId="0" applyNumberFormat="1" applyFont="1" applyBorder="1" applyAlignment="1">
      <alignment horizontal="center"/>
    </xf>
    <xf numFmtId="2" fontId="0" fillId="0" borderId="13" xfId="0" applyNumberFormat="1" applyBorder="1" applyAlignment="1">
      <alignment horizontal="center"/>
    </xf>
    <xf numFmtId="2" fontId="24" fillId="0" borderId="13" xfId="0" applyNumberFormat="1" applyFont="1" applyBorder="1" applyAlignment="1">
      <alignment horizontal="center"/>
    </xf>
    <xf numFmtId="2" fontId="0" fillId="0" borderId="0" xfId="0" applyNumberFormat="1" applyBorder="1" applyAlignment="1">
      <alignment horizontal="center"/>
    </xf>
    <xf numFmtId="0" fontId="24" fillId="0" borderId="0" xfId="0" applyFont="1" applyBorder="1" applyAlignment="1">
      <alignment horizontal="left"/>
    </xf>
    <xf numFmtId="165" fontId="0" fillId="0" borderId="0" xfId="0" applyNumberFormat="1" applyAlignment="1">
      <alignment horizontal="left"/>
    </xf>
    <xf numFmtId="3" fontId="0" fillId="0" borderId="0" xfId="0" applyNumberFormat="1" applyAlignment="1"/>
    <xf numFmtId="2" fontId="0" fillId="35" borderId="11" xfId="0" applyNumberFormat="1" applyFill="1" applyBorder="1" applyAlignment="1">
      <alignment horizontal="center"/>
    </xf>
    <xf numFmtId="2" fontId="0" fillId="34" borderId="0" xfId="0" applyNumberFormat="1" applyFill="1" applyAlignment="1">
      <alignment horizontal="center"/>
    </xf>
    <xf numFmtId="2" fontId="0" fillId="35" borderId="0" xfId="0" applyNumberFormat="1" applyFill="1" applyAlignment="1">
      <alignment horizontal="center"/>
    </xf>
    <xf numFmtId="164" fontId="0" fillId="35" borderId="0" xfId="0" applyNumberFormat="1" applyFill="1" applyAlignment="1">
      <alignment horizontal="center"/>
    </xf>
    <xf numFmtId="0" fontId="0" fillId="35" borderId="0" xfId="0" applyFill="1" applyAlignment="1">
      <alignment horizontal="left"/>
    </xf>
    <xf numFmtId="0" fontId="0" fillId="34" borderId="19" xfId="0" applyFill="1" applyBorder="1"/>
    <xf numFmtId="165" fontId="0" fillId="0" borderId="0" xfId="0" applyNumberFormat="1" applyFill="1" applyAlignment="1">
      <alignment horizontal="center"/>
    </xf>
    <xf numFmtId="3" fontId="0" fillId="0" borderId="0" xfId="0" applyNumberFormat="1" applyFill="1" applyAlignment="1">
      <alignment horizontal="center"/>
    </xf>
    <xf numFmtId="2" fontId="0" fillId="0" borderId="11" xfId="0" applyNumberFormat="1" applyFill="1" applyBorder="1" applyAlignment="1">
      <alignment horizontal="center"/>
    </xf>
    <xf numFmtId="2" fontId="0" fillId="0" borderId="13" xfId="0" applyNumberFormat="1" applyFill="1" applyBorder="1" applyAlignment="1">
      <alignment horizontal="center"/>
    </xf>
    <xf numFmtId="0" fontId="21" fillId="33" borderId="0" xfId="0" applyFont="1" applyFill="1" applyAlignment="1">
      <alignment wrapText="1"/>
    </xf>
    <xf numFmtId="164" fontId="0" fillId="0" borderId="0" xfId="0" applyNumberFormat="1" applyBorder="1" applyAlignment="1">
      <alignment horizontal="center"/>
    </xf>
    <xf numFmtId="3" fontId="30" fillId="0" borderId="0" xfId="0" applyNumberFormat="1" applyFont="1" applyAlignment="1">
      <alignment horizontal="center"/>
    </xf>
    <xf numFmtId="0" fontId="0" fillId="36" borderId="0" xfId="0" applyFill="1" applyAlignment="1">
      <alignment horizontal="left"/>
    </xf>
    <xf numFmtId="2" fontId="0" fillId="36" borderId="0" xfId="0" applyNumberFormat="1" applyFill="1" applyAlignment="1">
      <alignment horizontal="center"/>
    </xf>
    <xf numFmtId="2" fontId="0" fillId="0" borderId="0" xfId="0" applyNumberFormat="1" applyFill="1" applyBorder="1" applyAlignment="1">
      <alignment horizontal="center"/>
    </xf>
    <xf numFmtId="2" fontId="16" fillId="0" borderId="10" xfId="0" applyNumberFormat="1" applyFont="1" applyFill="1" applyBorder="1" applyAlignment="1">
      <alignment horizontal="center" wrapText="1"/>
    </xf>
    <xf numFmtId="2" fontId="24" fillId="0" borderId="0" xfId="0" applyNumberFormat="1" applyFont="1" applyFill="1" applyBorder="1" applyAlignment="1">
      <alignment horizontal="center"/>
    </xf>
    <xf numFmtId="165" fontId="16" fillId="0" borderId="10" xfId="0" applyNumberFormat="1" applyFont="1" applyFill="1" applyBorder="1" applyAlignment="1">
      <alignment horizontal="center"/>
    </xf>
    <xf numFmtId="0" fontId="16" fillId="0" borderId="10" xfId="0" applyFont="1" applyFill="1" applyBorder="1" applyAlignment="1">
      <alignment horizontal="center"/>
    </xf>
    <xf numFmtId="0" fontId="16" fillId="0" borderId="10" xfId="0" applyFont="1" applyFill="1" applyBorder="1" applyAlignment="1">
      <alignment horizontal="right"/>
    </xf>
    <xf numFmtId="2" fontId="16" fillId="0" borderId="10" xfId="0" applyNumberFormat="1" applyFont="1" applyFill="1" applyBorder="1" applyAlignment="1">
      <alignment horizontal="right"/>
    </xf>
    <xf numFmtId="164" fontId="16" fillId="0" borderId="10" xfId="0" applyNumberFormat="1" applyFont="1" applyFill="1" applyBorder="1" applyAlignment="1">
      <alignment horizontal="center"/>
    </xf>
    <xf numFmtId="0" fontId="16" fillId="0" borderId="10" xfId="0" applyFont="1" applyFill="1" applyBorder="1" applyAlignment="1">
      <alignment horizontal="center" wrapText="1"/>
    </xf>
    <xf numFmtId="11" fontId="16" fillId="0" borderId="10" xfId="0" applyNumberFormat="1" applyFont="1" applyFill="1" applyBorder="1" applyAlignment="1">
      <alignment horizontal="center" wrapText="1"/>
    </xf>
    <xf numFmtId="165" fontId="16" fillId="0" borderId="0" xfId="0" applyNumberFormat="1" applyFont="1" applyFill="1" applyBorder="1" applyAlignment="1">
      <alignment horizontal="center"/>
    </xf>
    <xf numFmtId="0" fontId="16" fillId="0" borderId="0" xfId="0" applyFont="1" applyFill="1" applyBorder="1" applyAlignment="1">
      <alignment horizontal="center"/>
    </xf>
    <xf numFmtId="0" fontId="16" fillId="0" borderId="0" xfId="0" applyFont="1" applyFill="1" applyBorder="1" applyAlignment="1">
      <alignment horizontal="right"/>
    </xf>
    <xf numFmtId="2" fontId="16" fillId="0" borderId="0" xfId="0" applyNumberFormat="1" applyFont="1" applyFill="1" applyBorder="1" applyAlignment="1">
      <alignment horizontal="right"/>
    </xf>
    <xf numFmtId="0" fontId="16" fillId="0" borderId="0" xfId="0" applyFont="1" applyFill="1" applyBorder="1" applyAlignment="1">
      <alignment horizontal="center" wrapText="1"/>
    </xf>
    <xf numFmtId="11" fontId="16" fillId="0" borderId="0" xfId="0" applyNumberFormat="1" applyFont="1" applyFill="1" applyBorder="1" applyAlignment="1">
      <alignment horizontal="center" wrapText="1"/>
    </xf>
    <xf numFmtId="2" fontId="0" fillId="0" borderId="0" xfId="0" applyNumberFormat="1" applyFont="1" applyBorder="1" applyAlignment="1">
      <alignment horizontal="center"/>
    </xf>
    <xf numFmtId="165" fontId="0" fillId="0" borderId="0" xfId="0" applyNumberFormat="1" applyFont="1" applyBorder="1" applyAlignment="1">
      <alignment horizontal="center"/>
    </xf>
    <xf numFmtId="3" fontId="0" fillId="0" borderId="0" xfId="0" applyNumberFormat="1" applyFont="1" applyBorder="1" applyAlignment="1">
      <alignment horizontal="center"/>
    </xf>
    <xf numFmtId="2" fontId="0" fillId="0" borderId="11" xfId="0" applyNumberFormat="1" applyFont="1" applyBorder="1" applyAlignment="1">
      <alignment horizontal="center"/>
    </xf>
    <xf numFmtId="2" fontId="0" fillId="0" borderId="13" xfId="0" applyNumberFormat="1" applyFont="1" applyBorder="1" applyAlignment="1">
      <alignment horizontal="center"/>
    </xf>
    <xf numFmtId="165" fontId="0" fillId="0" borderId="0" xfId="0" applyNumberFormat="1" applyFont="1" applyFill="1"/>
    <xf numFmtId="0" fontId="0" fillId="0" borderId="0" xfId="0" applyFont="1" applyFill="1" applyAlignment="1"/>
    <xf numFmtId="0" fontId="0" fillId="0" borderId="0" xfId="0" applyFont="1" applyFill="1" applyAlignment="1">
      <alignment horizontal="right"/>
    </xf>
    <xf numFmtId="0" fontId="0" fillId="0" borderId="0" xfId="0" applyFont="1" applyFill="1"/>
    <xf numFmtId="0" fontId="0" fillId="0" borderId="0" xfId="0" applyFont="1" applyFill="1" applyBorder="1" applyAlignment="1">
      <alignment horizontal="right"/>
    </xf>
    <xf numFmtId="2" fontId="0" fillId="0" borderId="0" xfId="0" applyNumberFormat="1" applyFont="1" applyFill="1" applyBorder="1" applyAlignment="1">
      <alignment horizontal="right"/>
    </xf>
    <xf numFmtId="164"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Fill="1" applyAlignment="1">
      <alignment horizontal="left"/>
    </xf>
    <xf numFmtId="11" fontId="0" fillId="0" borderId="0" xfId="0" applyNumberFormat="1" applyFont="1" applyFill="1"/>
    <xf numFmtId="0" fontId="25" fillId="0" borderId="0" xfId="0" applyFont="1" applyFill="1" applyAlignment="1">
      <alignment wrapText="1"/>
    </xf>
    <xf numFmtId="0" fontId="14" fillId="0" borderId="0" xfId="0" applyFont="1" applyFill="1"/>
    <xf numFmtId="2" fontId="14" fillId="0" borderId="0" xfId="0" applyNumberFormat="1" applyFont="1" applyAlignment="1">
      <alignment horizontal="center"/>
    </xf>
    <xf numFmtId="0" fontId="0" fillId="0" borderId="0" xfId="0" quotePrefix="1" applyAlignment="1">
      <alignment horizontal="left"/>
    </xf>
    <xf numFmtId="0" fontId="0" fillId="36" borderId="0" xfId="0" applyFill="1"/>
    <xf numFmtId="0" fontId="0" fillId="37" borderId="0" xfId="0" applyFill="1" applyAlignment="1">
      <alignment horizontal="left"/>
    </xf>
    <xf numFmtId="0" fontId="0" fillId="37" borderId="0" xfId="0" applyFill="1" applyAlignment="1"/>
    <xf numFmtId="0" fontId="0" fillId="34" borderId="0" xfId="0" applyFont="1" applyFill="1" applyAlignment="1">
      <alignment horizontal="right"/>
    </xf>
    <xf numFmtId="164" fontId="16" fillId="0" borderId="10" xfId="0" applyNumberFormat="1" applyFont="1" applyBorder="1" applyAlignment="1">
      <alignment horizontal="center"/>
    </xf>
    <xf numFmtId="164" fontId="16" fillId="0" borderId="0" xfId="0" applyNumberFormat="1" applyFont="1" applyBorder="1" applyAlignment="1">
      <alignment horizontal="center"/>
    </xf>
    <xf numFmtId="164" fontId="0" fillId="0" borderId="0" xfId="0" applyNumberFormat="1" applyFill="1" applyBorder="1" applyAlignment="1">
      <alignment horizontal="center"/>
    </xf>
    <xf numFmtId="2" fontId="18" fillId="33" borderId="0" xfId="0" applyNumberFormat="1" applyFont="1" applyFill="1" applyBorder="1" applyAlignment="1">
      <alignment horizontal="center"/>
    </xf>
    <xf numFmtId="2" fontId="0" fillId="33" borderId="0" xfId="0" applyNumberFormat="1" applyFill="1" applyBorder="1" applyAlignment="1">
      <alignment horizontal="center"/>
    </xf>
    <xf numFmtId="0" fontId="0" fillId="0" borderId="0" xfId="0" applyBorder="1"/>
    <xf numFmtId="2" fontId="0" fillId="36" borderId="0" xfId="0" applyNumberFormat="1" applyFill="1" applyBorder="1" applyAlignment="1">
      <alignment horizontal="center"/>
    </xf>
    <xf numFmtId="2" fontId="0" fillId="34" borderId="0" xfId="0" applyNumberFormat="1" applyFill="1" applyBorder="1" applyAlignment="1">
      <alignment horizontal="center"/>
    </xf>
    <xf numFmtId="165" fontId="16" fillId="0" borderId="21" xfId="0" applyNumberFormat="1" applyFont="1" applyBorder="1" applyAlignment="1">
      <alignment horizontal="center" wrapText="1"/>
    </xf>
    <xf numFmtId="2" fontId="16" fillId="0" borderId="22" xfId="0" applyNumberFormat="1" applyFont="1" applyFill="1" applyBorder="1" applyAlignment="1">
      <alignment horizontal="center" wrapText="1"/>
    </xf>
    <xf numFmtId="2" fontId="16" fillId="0" borderId="23" xfId="0" applyNumberFormat="1" applyFont="1" applyBorder="1" applyAlignment="1">
      <alignment horizontal="center" wrapText="1"/>
    </xf>
    <xf numFmtId="165" fontId="24" fillId="0" borderId="24" xfId="0" applyNumberFormat="1" applyFont="1" applyBorder="1" applyAlignment="1">
      <alignment horizontal="center"/>
    </xf>
    <xf numFmtId="2" fontId="24" fillId="0" borderId="25" xfId="0" applyNumberFormat="1" applyFont="1" applyBorder="1" applyAlignment="1">
      <alignment horizontal="center"/>
    </xf>
    <xf numFmtId="165" fontId="0" fillId="0" borderId="24" xfId="0" applyNumberFormat="1" applyBorder="1" applyAlignment="1">
      <alignment horizontal="center"/>
    </xf>
    <xf numFmtId="2" fontId="25" fillId="0" borderId="25" xfId="0" applyNumberFormat="1" applyFont="1" applyBorder="1" applyAlignment="1">
      <alignment horizontal="left" wrapText="1"/>
    </xf>
    <xf numFmtId="2" fontId="25" fillId="0" borderId="25" xfId="0" applyNumberFormat="1" applyFont="1" applyBorder="1" applyAlignment="1">
      <alignment horizontal="left"/>
    </xf>
    <xf numFmtId="165" fontId="0" fillId="36" borderId="24" xfId="0" applyNumberFormat="1" applyFill="1" applyBorder="1" applyAlignment="1">
      <alignment horizontal="center"/>
    </xf>
    <xf numFmtId="2" fontId="0" fillId="0" borderId="25" xfId="0" applyNumberFormat="1" applyBorder="1" applyAlignment="1">
      <alignment horizontal="left"/>
    </xf>
    <xf numFmtId="165" fontId="0" fillId="34" borderId="24" xfId="0" applyNumberFormat="1" applyFill="1" applyBorder="1" applyAlignment="1">
      <alignment horizontal="center"/>
    </xf>
    <xf numFmtId="2" fontId="0" fillId="0" borderId="25" xfId="0" applyNumberFormat="1" applyBorder="1" applyAlignment="1">
      <alignment horizontal="center"/>
    </xf>
    <xf numFmtId="165" fontId="0" fillId="0" borderId="26" xfId="0" applyNumberFormat="1" applyBorder="1" applyAlignment="1">
      <alignment horizontal="center"/>
    </xf>
    <xf numFmtId="2" fontId="0" fillId="0" borderId="27" xfId="0" applyNumberFormat="1" applyFill="1" applyBorder="1" applyAlignment="1">
      <alignment horizontal="center"/>
    </xf>
    <xf numFmtId="2" fontId="0" fillId="0" borderId="28" xfId="0" applyNumberFormat="1" applyBorder="1" applyAlignment="1">
      <alignment horizontal="left"/>
    </xf>
    <xf numFmtId="165" fontId="0" fillId="34" borderId="24" xfId="0" applyNumberFormat="1" applyFont="1" applyFill="1" applyBorder="1" applyAlignment="1">
      <alignment horizontal="center"/>
    </xf>
    <xf numFmtId="2" fontId="16" fillId="38" borderId="10" xfId="0" applyNumberFormat="1" applyFont="1" applyFill="1" applyBorder="1" applyAlignment="1">
      <alignment horizontal="center" wrapText="1"/>
    </xf>
    <xf numFmtId="165" fontId="16" fillId="38" borderId="10" xfId="0" applyNumberFormat="1" applyFont="1" applyFill="1" applyBorder="1" applyAlignment="1">
      <alignment horizontal="center"/>
    </xf>
    <xf numFmtId="0" fontId="16" fillId="38" borderId="10" xfId="0" applyFont="1" applyFill="1" applyBorder="1" applyAlignment="1">
      <alignment horizontal="center"/>
    </xf>
    <xf numFmtId="2" fontId="16" fillId="38" borderId="10" xfId="0" applyNumberFormat="1" applyFont="1" applyFill="1" applyBorder="1" applyAlignment="1">
      <alignment horizontal="center"/>
    </xf>
    <xf numFmtId="165" fontId="16" fillId="0" borderId="22" xfId="0" applyNumberFormat="1" applyFont="1" applyFill="1" applyBorder="1" applyAlignment="1">
      <alignment horizontal="center" wrapText="1"/>
    </xf>
    <xf numFmtId="165" fontId="24" fillId="0" borderId="0" xfId="0" applyNumberFormat="1" applyFont="1" applyFill="1" applyBorder="1" applyAlignment="1">
      <alignment horizontal="center"/>
    </xf>
    <xf numFmtId="165" fontId="0" fillId="34" borderId="0" xfId="0" applyNumberFormat="1" applyFont="1" applyFill="1" applyBorder="1" applyAlignment="1">
      <alignment horizontal="center"/>
    </xf>
    <xf numFmtId="165" fontId="0" fillId="0" borderId="0" xfId="0" applyNumberFormat="1" applyBorder="1" applyAlignment="1">
      <alignment horizontal="center"/>
    </xf>
    <xf numFmtId="165" fontId="0" fillId="0" borderId="0" xfId="0" applyNumberFormat="1" applyFill="1" applyBorder="1" applyAlignment="1">
      <alignment horizontal="center"/>
    </xf>
    <xf numFmtId="165" fontId="0" fillId="0" borderId="27" xfId="0" applyNumberFormat="1" applyFill="1" applyBorder="1" applyAlignment="1">
      <alignment horizontal="center"/>
    </xf>
    <xf numFmtId="2" fontId="18" fillId="0" borderId="0" xfId="0" applyNumberFormat="1" applyFont="1" applyAlignment="1">
      <alignment horizontal="center"/>
    </xf>
    <xf numFmtId="165" fontId="0" fillId="36" borderId="0" xfId="0" applyNumberFormat="1" applyFill="1" applyBorder="1" applyAlignment="1">
      <alignment horizontal="center"/>
    </xf>
    <xf numFmtId="165" fontId="0" fillId="34" borderId="0" xfId="0" applyNumberFormat="1" applyFill="1" applyBorder="1" applyAlignment="1">
      <alignment horizontal="center"/>
    </xf>
    <xf numFmtId="2" fontId="18" fillId="36" borderId="0" xfId="0" applyNumberFormat="1" applyFont="1" applyFill="1" applyAlignment="1">
      <alignment horizontal="center"/>
    </xf>
    <xf numFmtId="2" fontId="18" fillId="34" borderId="0" xfId="0" applyNumberFormat="1" applyFont="1" applyFill="1" applyAlignment="1">
      <alignment horizontal="center"/>
    </xf>
    <xf numFmtId="2" fontId="18" fillId="0" borderId="0" xfId="0" applyNumberFormat="1" applyFont="1" applyFill="1" applyAlignment="1">
      <alignment horizontal="center"/>
    </xf>
    <xf numFmtId="2" fontId="0" fillId="0" borderId="29" xfId="0" applyNumberFormat="1" applyBorder="1" applyAlignment="1">
      <alignment horizontal="center"/>
    </xf>
    <xf numFmtId="0" fontId="0" fillId="0" borderId="0" xfId="0" quotePrefix="1" applyBorder="1" applyAlignment="1">
      <alignment horizontal="left"/>
    </xf>
    <xf numFmtId="3" fontId="0" fillId="0" borderId="0" xfId="0" applyNumberFormat="1" applyBorder="1" applyAlignment="1">
      <alignment horizontal="center"/>
    </xf>
    <xf numFmtId="165" fontId="16" fillId="0" borderId="0" xfId="0" applyNumberFormat="1" applyFont="1" applyFill="1" applyBorder="1" applyAlignment="1">
      <alignment horizontal="right"/>
    </xf>
    <xf numFmtId="165" fontId="16" fillId="0" borderId="10" xfId="0" applyNumberFormat="1" applyFont="1" applyFill="1" applyBorder="1" applyAlignment="1">
      <alignment horizontal="right"/>
    </xf>
    <xf numFmtId="0" fontId="24" fillId="0" borderId="14" xfId="0" applyFont="1" applyBorder="1"/>
    <xf numFmtId="0" fontId="0" fillId="0" borderId="15" xfId="0" applyBorder="1" applyAlignment="1">
      <alignment horizontal="center"/>
    </xf>
    <xf numFmtId="2" fontId="0" fillId="0" borderId="15" xfId="0" applyNumberFormat="1" applyBorder="1" applyAlignment="1">
      <alignment horizontal="center"/>
    </xf>
    <xf numFmtId="165" fontId="0" fillId="0" borderId="15" xfId="0" applyNumberFormat="1" applyBorder="1" applyAlignment="1">
      <alignment horizontal="center"/>
    </xf>
    <xf numFmtId="3" fontId="0" fillId="0" borderId="15" xfId="0" applyNumberFormat="1" applyBorder="1" applyAlignment="1">
      <alignment horizontal="center"/>
    </xf>
    <xf numFmtId="3" fontId="0" fillId="0" borderId="16" xfId="0" applyNumberFormat="1" applyBorder="1" applyAlignment="1">
      <alignment horizontal="center"/>
    </xf>
    <xf numFmtId="0" fontId="0" fillId="36" borderId="17" xfId="0" applyFill="1" applyBorder="1"/>
    <xf numFmtId="0" fontId="0" fillId="34" borderId="17" xfId="0" applyFill="1" applyBorder="1"/>
    <xf numFmtId="0" fontId="0" fillId="0" borderId="10" xfId="0" quotePrefix="1" applyBorder="1" applyAlignment="1">
      <alignment horizontal="left"/>
    </xf>
    <xf numFmtId="2" fontId="0" fillId="0" borderId="10" xfId="0" applyNumberFormat="1" applyBorder="1" applyAlignment="1">
      <alignment horizontal="center"/>
    </xf>
    <xf numFmtId="165" fontId="0" fillId="0" borderId="10" xfId="0" applyNumberFormat="1" applyBorder="1" applyAlignment="1">
      <alignment horizontal="center"/>
    </xf>
    <xf numFmtId="3" fontId="0" fillId="0" borderId="10" xfId="0" applyNumberFormat="1" applyBorder="1" applyAlignment="1">
      <alignment horizontal="center"/>
    </xf>
    <xf numFmtId="3" fontId="0" fillId="0" borderId="20" xfId="0" applyNumberFormat="1" applyBorder="1" applyAlignment="1">
      <alignment horizontal="center"/>
    </xf>
    <xf numFmtId="165" fontId="0" fillId="0" borderId="16" xfId="0" applyNumberFormat="1" applyBorder="1" applyAlignment="1">
      <alignment horizontal="center"/>
    </xf>
    <xf numFmtId="0" fontId="34" fillId="33" borderId="17" xfId="0" applyFont="1" applyFill="1" applyBorder="1"/>
    <xf numFmtId="165" fontId="0" fillId="0" borderId="18" xfId="0" applyNumberFormat="1" applyBorder="1" applyAlignment="1">
      <alignment horizontal="center"/>
    </xf>
    <xf numFmtId="0" fontId="0" fillId="35" borderId="17" xfId="0" applyFill="1" applyBorder="1"/>
    <xf numFmtId="165" fontId="0" fillId="0" borderId="20" xfId="0" applyNumberFormat="1" applyBorder="1" applyAlignment="1">
      <alignment horizontal="center"/>
    </xf>
    <xf numFmtId="164" fontId="0" fillId="0" borderId="0" xfId="0" applyNumberFormat="1" applyFont="1" applyBorder="1" applyAlignment="1">
      <alignment horizontal="center"/>
    </xf>
    <xf numFmtId="165" fontId="0" fillId="0" borderId="0" xfId="0" applyNumberFormat="1" applyFont="1" applyFill="1" applyBorder="1"/>
    <xf numFmtId="164" fontId="0" fillId="0" borderId="0" xfId="0" applyNumberFormat="1" applyAlignment="1">
      <alignment horizontal="center" wrapText="1"/>
    </xf>
    <xf numFmtId="0" fontId="0" fillId="0" borderId="0" xfId="0" applyAlignment="1">
      <alignment horizontal="right" vertical="top"/>
    </xf>
    <xf numFmtId="0" fontId="0" fillId="0" borderId="0" xfId="0" applyAlignment="1">
      <alignment vertical="top" wrapText="1"/>
    </xf>
    <xf numFmtId="0" fontId="0" fillId="0" borderId="0" xfId="0" quotePrefix="1"/>
    <xf numFmtId="3" fontId="18" fillId="0" borderId="0" xfId="0" applyNumberFormat="1" applyFont="1" applyAlignment="1">
      <alignment horizontal="center"/>
    </xf>
    <xf numFmtId="0" fontId="0" fillId="0" borderId="0" xfId="0" applyFill="1" applyBorder="1"/>
    <xf numFmtId="0" fontId="0" fillId="37" borderId="17" xfId="0" applyFill="1" applyBorder="1"/>
    <xf numFmtId="0" fontId="14" fillId="0" borderId="19" xfId="0" applyFont="1" applyFill="1" applyBorder="1"/>
    <xf numFmtId="0" fontId="0" fillId="0" borderId="10" xfId="0" applyBorder="1" applyAlignment="1">
      <alignment horizontal="left"/>
    </xf>
    <xf numFmtId="2" fontId="25" fillId="0" borderId="25" xfId="0" applyNumberFormat="1" applyFont="1" applyFill="1" applyBorder="1" applyAlignment="1">
      <alignment wrapText="1"/>
    </xf>
    <xf numFmtId="2" fontId="25" fillId="0" borderId="25" xfId="0" applyNumberFormat="1" applyFont="1" applyFill="1" applyBorder="1" applyAlignment="1">
      <alignment horizontal="left" wrapText="1"/>
    </xf>
    <xf numFmtId="0" fontId="16" fillId="0" borderId="10" xfId="0" applyFont="1" applyBorder="1"/>
    <xf numFmtId="2" fontId="24" fillId="0" borderId="29" xfId="0" applyNumberFormat="1" applyFont="1" applyBorder="1" applyAlignment="1">
      <alignment horizontal="center"/>
    </xf>
    <xf numFmtId="0" fontId="0" fillId="0" borderId="0" xfId="0" applyAlignment="1">
      <alignment horizontal="center" vertical="top"/>
    </xf>
    <xf numFmtId="0" fontId="0" fillId="0" borderId="0" xfId="0" applyAlignment="1">
      <alignment vertical="top"/>
    </xf>
    <xf numFmtId="0" fontId="16" fillId="0" borderId="0" xfId="0" applyFont="1" applyAlignment="1">
      <alignment vertical="top"/>
    </xf>
    <xf numFmtId="0" fontId="16" fillId="0" borderId="0" xfId="0" applyFont="1" applyAlignment="1">
      <alignment vertical="top" wrapText="1"/>
    </xf>
    <xf numFmtId="0" fontId="0" fillId="0" borderId="0" xfId="0" applyAlignment="1">
      <alignment wrapText="1"/>
    </xf>
    <xf numFmtId="0" fontId="16" fillId="0" borderId="0" xfId="0" applyFont="1" applyFill="1" applyAlignment="1">
      <alignment vertical="top" wrapText="1"/>
    </xf>
    <xf numFmtId="0" fontId="24" fillId="0" borderId="0" xfId="0" applyFont="1" applyAlignment="1">
      <alignment vertical="center"/>
    </xf>
    <xf numFmtId="0" fontId="0" fillId="0" borderId="0" xfId="0" applyAlignment="1"/>
    <xf numFmtId="0" fontId="24" fillId="0" borderId="0" xfId="0" applyFont="1" applyAlignment="1">
      <alignment vertical="center"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CCFF"/>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abSelected="1" workbookViewId="0">
      <selection activeCell="E9" sqref="E9"/>
    </sheetView>
  </sheetViews>
  <sheetFormatPr defaultColWidth="8.85546875" defaultRowHeight="15" x14ac:dyDescent="0.25"/>
  <cols>
    <col min="1" max="1" width="22.85546875" customWidth="1"/>
    <col min="2" max="2" width="100.140625" customWidth="1"/>
    <col min="3" max="3" width="15" style="4" customWidth="1"/>
    <col min="4" max="4" width="16" style="16" customWidth="1"/>
    <col min="5" max="5" width="59" customWidth="1"/>
  </cols>
  <sheetData>
    <row r="1" spans="1:2" x14ac:dyDescent="0.25">
      <c r="A1" s="5" t="s">
        <v>117</v>
      </c>
      <c r="B1" s="6" t="s">
        <v>160</v>
      </c>
    </row>
    <row r="2" spans="1:2" x14ac:dyDescent="0.25">
      <c r="A2" s="5" t="s">
        <v>165</v>
      </c>
      <c r="B2" s="195" t="s">
        <v>166</v>
      </c>
    </row>
    <row r="3" spans="1:2" x14ac:dyDescent="0.25">
      <c r="A3" s="5" t="s">
        <v>118</v>
      </c>
      <c r="B3" t="s">
        <v>167</v>
      </c>
    </row>
    <row r="4" spans="1:2" x14ac:dyDescent="0.25">
      <c r="A4" s="5" t="s">
        <v>184</v>
      </c>
      <c r="B4" t="s">
        <v>168</v>
      </c>
    </row>
    <row r="5" spans="1:2" x14ac:dyDescent="0.25">
      <c r="A5" s="5"/>
      <c r="B5" t="s">
        <v>121</v>
      </c>
    </row>
    <row r="6" spans="1:2" x14ac:dyDescent="0.25">
      <c r="A6" s="5"/>
    </row>
    <row r="7" spans="1:2" ht="52.5" customHeight="1" x14ac:dyDescent="0.25">
      <c r="A7" s="193" t="s">
        <v>119</v>
      </c>
      <c r="B7" s="194" t="s">
        <v>185</v>
      </c>
    </row>
    <row r="8" spans="1:2" ht="96" x14ac:dyDescent="0.25">
      <c r="A8" s="193"/>
      <c r="B8" s="194" t="s">
        <v>169</v>
      </c>
    </row>
    <row r="10" spans="1:2" ht="32.25" customHeight="1" x14ac:dyDescent="0.25">
      <c r="A10" s="193" t="s">
        <v>120</v>
      </c>
      <c r="B10" s="194" t="s">
        <v>154</v>
      </c>
    </row>
    <row r="11" spans="1:2" ht="105.75" customHeight="1" x14ac:dyDescent="0.25">
      <c r="B11" s="210" t="s">
        <v>180</v>
      </c>
    </row>
    <row r="12" spans="1:2" ht="33" x14ac:dyDescent="0.25">
      <c r="B12" s="208" t="s">
        <v>179</v>
      </c>
    </row>
    <row r="13" spans="1:2" ht="18.75" customHeight="1" x14ac:dyDescent="0.25">
      <c r="B13" s="207" t="s">
        <v>157</v>
      </c>
    </row>
    <row r="14" spans="1:2" ht="34.5" customHeight="1" x14ac:dyDescent="0.25">
      <c r="B14" s="208" t="s">
        <v>158</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pane ySplit="1" topLeftCell="A2" activePane="bottomLeft" state="frozen"/>
      <selection pane="bottomLeft" activeCell="I29" sqref="I29"/>
    </sheetView>
  </sheetViews>
  <sheetFormatPr defaultColWidth="8.85546875" defaultRowHeight="15" x14ac:dyDescent="0.25"/>
  <cols>
    <col min="1" max="1" width="9.7109375" customWidth="1"/>
    <col min="2" max="2" width="19.85546875" customWidth="1"/>
    <col min="3" max="3" width="97.5703125" customWidth="1"/>
  </cols>
  <sheetData>
    <row r="1" spans="1:5" ht="15.75" thickBot="1" x14ac:dyDescent="0.3">
      <c r="A1" s="8" t="s">
        <v>124</v>
      </c>
      <c r="B1" s="11" t="s">
        <v>125</v>
      </c>
      <c r="C1" s="203" t="s">
        <v>126</v>
      </c>
      <c r="D1" s="4"/>
      <c r="E1" s="16"/>
    </row>
    <row r="3" spans="1:5" ht="24.75" customHeight="1" x14ac:dyDescent="0.25">
      <c r="A3" s="211" t="s">
        <v>181</v>
      </c>
      <c r="B3" s="212"/>
      <c r="C3" s="212"/>
    </row>
    <row r="4" spans="1:5" ht="30" x14ac:dyDescent="0.25">
      <c r="A4" s="205" t="s">
        <v>127</v>
      </c>
      <c r="B4" s="206" t="s">
        <v>7</v>
      </c>
      <c r="C4" s="209" t="s">
        <v>159</v>
      </c>
    </row>
    <row r="5" spans="1:5" ht="19.5" customHeight="1" x14ac:dyDescent="0.25">
      <c r="A5" s="205" t="s">
        <v>128</v>
      </c>
      <c r="B5" s="206" t="s">
        <v>136</v>
      </c>
      <c r="C5" s="194" t="s">
        <v>139</v>
      </c>
    </row>
    <row r="6" spans="1:5" x14ac:dyDescent="0.25">
      <c r="A6" s="4" t="s">
        <v>129</v>
      </c>
      <c r="B6" t="s">
        <v>16</v>
      </c>
      <c r="C6" t="s">
        <v>140</v>
      </c>
    </row>
    <row r="7" spans="1:5" x14ac:dyDescent="0.25">
      <c r="A7" s="4" t="s">
        <v>130</v>
      </c>
      <c r="B7" t="s">
        <v>137</v>
      </c>
      <c r="C7" t="s">
        <v>141</v>
      </c>
    </row>
    <row r="8" spans="1:5" x14ac:dyDescent="0.25">
      <c r="A8" s="4" t="s">
        <v>171</v>
      </c>
      <c r="B8" t="s">
        <v>107</v>
      </c>
      <c r="C8" t="s">
        <v>172</v>
      </c>
    </row>
    <row r="9" spans="1:5" ht="18" x14ac:dyDescent="0.35">
      <c r="A9" s="4" t="s">
        <v>173</v>
      </c>
      <c r="B9" t="s">
        <v>137</v>
      </c>
      <c r="C9" t="s">
        <v>142</v>
      </c>
    </row>
    <row r="10" spans="1:5" ht="36.75" customHeight="1" x14ac:dyDescent="0.25">
      <c r="A10" s="205" t="s">
        <v>131</v>
      </c>
      <c r="B10" s="206" t="s">
        <v>62</v>
      </c>
      <c r="C10" s="194" t="s">
        <v>143</v>
      </c>
    </row>
    <row r="11" spans="1:5" ht="19.5" customHeight="1" x14ac:dyDescent="0.25">
      <c r="A11" s="205" t="s">
        <v>132</v>
      </c>
      <c r="B11" s="206" t="s">
        <v>106</v>
      </c>
      <c r="C11" s="194" t="s">
        <v>144</v>
      </c>
    </row>
    <row r="12" spans="1:5" ht="33" x14ac:dyDescent="0.25">
      <c r="A12" s="205" t="s">
        <v>133</v>
      </c>
      <c r="B12" s="206" t="s">
        <v>16</v>
      </c>
      <c r="C12" s="194" t="s">
        <v>145</v>
      </c>
    </row>
    <row r="13" spans="1:5" ht="39" customHeight="1" x14ac:dyDescent="0.25">
      <c r="A13" s="205" t="s">
        <v>134</v>
      </c>
      <c r="B13" s="206" t="s">
        <v>138</v>
      </c>
      <c r="C13" s="194" t="s">
        <v>155</v>
      </c>
    </row>
    <row r="14" spans="1:5" x14ac:dyDescent="0.25">
      <c r="A14" s="4" t="s">
        <v>135</v>
      </c>
      <c r="B14" t="s">
        <v>137</v>
      </c>
      <c r="C14" s="194" t="s">
        <v>146</v>
      </c>
    </row>
    <row r="16" spans="1:5" ht="27" customHeight="1" x14ac:dyDescent="0.25">
      <c r="A16" s="211" t="s">
        <v>182</v>
      </c>
      <c r="B16" s="212"/>
      <c r="C16" s="212"/>
    </row>
    <row r="17" spans="1:3" x14ac:dyDescent="0.25">
      <c r="A17" s="4" t="s">
        <v>127</v>
      </c>
      <c r="B17" t="s">
        <v>7</v>
      </c>
      <c r="C17" t="s">
        <v>170</v>
      </c>
    </row>
    <row r="18" spans="1:3" ht="21.75" customHeight="1" x14ac:dyDescent="0.25">
      <c r="A18" s="205" t="s">
        <v>128</v>
      </c>
      <c r="B18" s="206" t="s">
        <v>136</v>
      </c>
      <c r="C18" s="194" t="s">
        <v>139</v>
      </c>
    </row>
    <row r="19" spans="1:3" x14ac:dyDescent="0.25">
      <c r="A19" s="4" t="s">
        <v>129</v>
      </c>
      <c r="B19" t="s">
        <v>16</v>
      </c>
      <c r="C19" t="s">
        <v>140</v>
      </c>
    </row>
    <row r="20" spans="1:3" x14ac:dyDescent="0.25">
      <c r="A20" s="4" t="s">
        <v>130</v>
      </c>
      <c r="B20" t="s">
        <v>137</v>
      </c>
      <c r="C20" t="s">
        <v>141</v>
      </c>
    </row>
    <row r="21" spans="1:3" ht="18" x14ac:dyDescent="0.35">
      <c r="A21" s="4" t="s">
        <v>147</v>
      </c>
      <c r="B21" t="s">
        <v>137</v>
      </c>
      <c r="C21" t="s">
        <v>178</v>
      </c>
    </row>
    <row r="22" spans="1:3" ht="35.25" customHeight="1" x14ac:dyDescent="0.25">
      <c r="A22" s="205" t="s">
        <v>133</v>
      </c>
      <c r="B22" s="206" t="s">
        <v>62</v>
      </c>
      <c r="C22" s="194" t="s">
        <v>150</v>
      </c>
    </row>
    <row r="23" spans="1:3" ht="19.5" customHeight="1" x14ac:dyDescent="0.25">
      <c r="A23" s="205" t="s">
        <v>134</v>
      </c>
      <c r="B23" s="206" t="s">
        <v>106</v>
      </c>
      <c r="C23" s="194" t="s">
        <v>144</v>
      </c>
    </row>
    <row r="24" spans="1:3" ht="33" x14ac:dyDescent="0.25">
      <c r="A24" s="205" t="s">
        <v>148</v>
      </c>
      <c r="B24" s="206" t="s">
        <v>16</v>
      </c>
      <c r="C24" s="194" t="s">
        <v>145</v>
      </c>
    </row>
    <row r="25" spans="1:3" ht="33" x14ac:dyDescent="0.25">
      <c r="A25" s="205" t="s">
        <v>149</v>
      </c>
      <c r="B25" s="206" t="s">
        <v>138</v>
      </c>
      <c r="C25" s="194" t="s">
        <v>156</v>
      </c>
    </row>
    <row r="26" spans="1:3" x14ac:dyDescent="0.25">
      <c r="A26" s="205" t="s">
        <v>151</v>
      </c>
      <c r="B26" t="s">
        <v>137</v>
      </c>
      <c r="C26" s="194" t="s">
        <v>152</v>
      </c>
    </row>
    <row r="28" spans="1:3" ht="31.5" customHeight="1" x14ac:dyDescent="0.25">
      <c r="A28" s="213" t="s">
        <v>183</v>
      </c>
      <c r="B28" s="214"/>
      <c r="C28" s="214"/>
    </row>
    <row r="29" spans="1:3" x14ac:dyDescent="0.25">
      <c r="A29" t="s">
        <v>153</v>
      </c>
    </row>
  </sheetData>
  <mergeCells count="3">
    <mergeCell ref="A3:C3"/>
    <mergeCell ref="A16:C16"/>
    <mergeCell ref="A28:C28"/>
  </mergeCells>
  <phoneticPr fontId="40" type="noConversion"/>
  <pageMargins left="0.7" right="0.7" top="0.75" bottom="0.75" header="0.3" footer="0.3"/>
  <pageSetup scale="76"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6"/>
  <sheetViews>
    <sheetView workbookViewId="0">
      <pane ySplit="1" topLeftCell="A2" activePane="bottomLeft" state="frozen"/>
      <selection pane="bottomLeft" activeCell="A20" sqref="A20:XFD20"/>
    </sheetView>
  </sheetViews>
  <sheetFormatPr defaultColWidth="8.85546875" defaultRowHeight="15" x14ac:dyDescent="0.25"/>
  <cols>
    <col min="2" max="2" width="15.7109375" style="4" customWidth="1"/>
    <col min="3" max="3" width="11.42578125" style="20" customWidth="1"/>
    <col min="4" max="4" width="11.140625" style="55" customWidth="1"/>
    <col min="5" max="5" width="11.42578125" style="58" customWidth="1"/>
    <col min="6" max="6" width="11" style="58" customWidth="1"/>
    <col min="7" max="7" width="10.85546875" style="58" customWidth="1"/>
    <col min="8" max="8" width="11.42578125" style="58" customWidth="1"/>
    <col min="9" max="10" width="8.42578125" style="55" customWidth="1"/>
    <col min="11" max="11" width="10.7109375" style="20" customWidth="1"/>
    <col min="12" max="12" width="13" style="51" customWidth="1"/>
    <col min="13" max="13" width="10" style="20" customWidth="1"/>
    <col min="14" max="19" width="8.42578125" style="20" customWidth="1"/>
    <col min="20" max="20" width="10.42578125" style="55" customWidth="1"/>
    <col min="21" max="21" width="9.85546875" style="20" customWidth="1"/>
    <col min="22" max="22" width="9.85546875" style="55" customWidth="1"/>
    <col min="23" max="23" width="41.140625" style="20" customWidth="1"/>
    <col min="36" max="36" width="13.42578125" customWidth="1"/>
    <col min="46" max="46" width="9.28515625" bestFit="1" customWidth="1"/>
    <col min="48" max="48" width="12" customWidth="1"/>
    <col min="49" max="49" width="53" customWidth="1"/>
    <col min="50" max="50" width="11.140625" customWidth="1"/>
  </cols>
  <sheetData>
    <row r="1" spans="1:49" s="6" customFormat="1" ht="64.5" customHeight="1" thickBot="1" x14ac:dyDescent="0.3">
      <c r="A1" s="19" t="s">
        <v>7</v>
      </c>
      <c r="B1" s="8" t="s">
        <v>52</v>
      </c>
      <c r="C1" s="49" t="s">
        <v>16</v>
      </c>
      <c r="D1" s="7" t="s">
        <v>53</v>
      </c>
      <c r="E1" s="56" t="s">
        <v>56</v>
      </c>
      <c r="F1" s="56" t="s">
        <v>57</v>
      </c>
      <c r="G1" s="56" t="s">
        <v>58</v>
      </c>
      <c r="H1" s="56" t="s">
        <v>59</v>
      </c>
      <c r="I1" s="7" t="s">
        <v>54</v>
      </c>
      <c r="J1" s="7" t="s">
        <v>55</v>
      </c>
      <c r="K1" s="65" t="s">
        <v>107</v>
      </c>
      <c r="L1" s="89" t="s">
        <v>108</v>
      </c>
      <c r="M1" s="63" t="s">
        <v>110</v>
      </c>
      <c r="N1" s="65" t="s">
        <v>99</v>
      </c>
      <c r="O1" s="63" t="s">
        <v>100</v>
      </c>
      <c r="P1" s="63" t="s">
        <v>101</v>
      </c>
      <c r="Q1" s="63" t="s">
        <v>102</v>
      </c>
      <c r="R1" s="65" t="s">
        <v>103</v>
      </c>
      <c r="S1" s="63" t="s">
        <v>105</v>
      </c>
      <c r="T1" s="135" t="s">
        <v>62</v>
      </c>
      <c r="U1" s="136" t="s">
        <v>106</v>
      </c>
      <c r="V1" s="155" t="s">
        <v>16</v>
      </c>
      <c r="W1" s="137" t="s">
        <v>61</v>
      </c>
      <c r="X1" s="127" t="s">
        <v>8</v>
      </c>
      <c r="Y1" s="12" t="s">
        <v>161</v>
      </c>
      <c r="Z1" s="7" t="s">
        <v>162</v>
      </c>
      <c r="AA1" s="8" t="s">
        <v>9</v>
      </c>
      <c r="AB1" s="8" t="s">
        <v>10</v>
      </c>
      <c r="AC1" s="9" t="s">
        <v>11</v>
      </c>
      <c r="AD1" s="9" t="s">
        <v>12</v>
      </c>
      <c r="AE1" s="9" t="s">
        <v>13</v>
      </c>
      <c r="AF1" s="9" t="s">
        <v>14</v>
      </c>
      <c r="AG1" s="9" t="s">
        <v>15</v>
      </c>
      <c r="AH1" s="9" t="s">
        <v>16</v>
      </c>
      <c r="AI1" s="10" t="s">
        <v>17</v>
      </c>
      <c r="AJ1" s="8" t="s">
        <v>18</v>
      </c>
      <c r="AK1" s="8" t="s">
        <v>19</v>
      </c>
      <c r="AL1" s="8" t="s">
        <v>20</v>
      </c>
      <c r="AM1" s="8" t="s">
        <v>21</v>
      </c>
      <c r="AN1" s="9" t="s">
        <v>22</v>
      </c>
      <c r="AO1" s="11" t="s">
        <v>23</v>
      </c>
      <c r="AP1" s="11" t="s">
        <v>24</v>
      </c>
      <c r="AQ1" s="11" t="s">
        <v>26</v>
      </c>
      <c r="AR1" s="11" t="s">
        <v>27</v>
      </c>
      <c r="AS1" s="11" t="s">
        <v>28</v>
      </c>
      <c r="AT1" s="18" t="s">
        <v>30</v>
      </c>
      <c r="AU1" s="11" t="s">
        <v>31</v>
      </c>
      <c r="AV1" s="11" t="s">
        <v>25</v>
      </c>
      <c r="AW1" s="11" t="s">
        <v>42</v>
      </c>
    </row>
    <row r="2" spans="1:49" x14ac:dyDescent="0.25">
      <c r="A2" s="172" t="s">
        <v>94</v>
      </c>
      <c r="B2" s="173"/>
      <c r="C2" s="174"/>
      <c r="D2" s="175"/>
      <c r="E2" s="176"/>
      <c r="F2" s="176"/>
      <c r="G2" s="176"/>
      <c r="H2" s="176"/>
      <c r="I2" s="185"/>
      <c r="K2" s="167"/>
      <c r="M2" s="68"/>
      <c r="N2" s="50"/>
      <c r="Q2" s="68"/>
      <c r="T2" s="138"/>
      <c r="W2" s="139"/>
      <c r="X2" s="128"/>
    </row>
    <row r="3" spans="1:49" x14ac:dyDescent="0.25">
      <c r="A3" s="186"/>
      <c r="B3" s="168" t="s">
        <v>115</v>
      </c>
      <c r="C3" s="69"/>
      <c r="D3" s="158"/>
      <c r="E3" s="169"/>
      <c r="F3" s="169"/>
      <c r="G3" s="169"/>
      <c r="H3" s="169"/>
      <c r="I3" s="187"/>
      <c r="K3" s="53"/>
      <c r="M3" s="68"/>
      <c r="N3" s="50"/>
      <c r="Q3" s="68"/>
      <c r="T3" s="138"/>
      <c r="W3" s="139"/>
      <c r="X3" s="128"/>
    </row>
    <row r="4" spans="1:49" x14ac:dyDescent="0.25">
      <c r="A4" s="188"/>
      <c r="B4" s="168" t="s">
        <v>116</v>
      </c>
      <c r="C4" s="69"/>
      <c r="D4" s="158"/>
      <c r="E4" s="169"/>
      <c r="F4" s="169"/>
      <c r="G4" s="169"/>
      <c r="H4" s="169"/>
      <c r="I4" s="187"/>
      <c r="K4" s="53"/>
      <c r="M4" s="68"/>
      <c r="N4" s="50"/>
      <c r="Q4" s="68"/>
      <c r="T4" s="138"/>
      <c r="W4" s="139"/>
      <c r="X4" s="128"/>
    </row>
    <row r="5" spans="1:49" x14ac:dyDescent="0.25">
      <c r="A5" s="178"/>
      <c r="B5" s="168" t="s">
        <v>95</v>
      </c>
      <c r="C5" s="69"/>
      <c r="D5" s="158"/>
      <c r="E5" s="169"/>
      <c r="F5" s="169"/>
      <c r="G5" s="169"/>
      <c r="H5" s="169"/>
      <c r="I5" s="187"/>
      <c r="K5" s="53"/>
      <c r="M5" s="68"/>
      <c r="N5" s="50"/>
      <c r="Q5" s="68"/>
      <c r="T5" s="138"/>
      <c r="W5" s="139"/>
      <c r="X5" s="128"/>
    </row>
    <row r="6" spans="1:49" x14ac:dyDescent="0.25">
      <c r="A6" s="179"/>
      <c r="B6" s="168" t="s">
        <v>96</v>
      </c>
      <c r="C6" s="69"/>
      <c r="D6" s="158"/>
      <c r="E6" s="169"/>
      <c r="F6" s="169"/>
      <c r="G6" s="169"/>
      <c r="H6" s="169"/>
      <c r="I6" s="187"/>
      <c r="K6" s="53"/>
      <c r="M6" s="68"/>
      <c r="N6" s="50"/>
      <c r="Q6" s="68"/>
      <c r="T6" s="138"/>
      <c r="W6" s="139"/>
      <c r="X6" s="128"/>
    </row>
    <row r="7" spans="1:49" x14ac:dyDescent="0.25">
      <c r="A7" s="198"/>
      <c r="B7" s="168" t="s">
        <v>114</v>
      </c>
      <c r="C7" s="69"/>
      <c r="D7" s="158"/>
      <c r="E7" s="169"/>
      <c r="F7" s="169"/>
      <c r="G7" s="169"/>
      <c r="H7" s="169"/>
      <c r="I7" s="187"/>
      <c r="K7" s="53"/>
      <c r="M7" s="68"/>
      <c r="N7" s="50"/>
      <c r="Q7" s="68"/>
      <c r="T7" s="138"/>
      <c r="W7" s="139"/>
      <c r="X7" s="128"/>
    </row>
    <row r="8" spans="1:49" ht="15.75" thickBot="1" x14ac:dyDescent="0.3">
      <c r="A8" s="199">
        <v>7.444</v>
      </c>
      <c r="B8" s="200" t="s">
        <v>122</v>
      </c>
      <c r="C8" s="181"/>
      <c r="D8" s="182"/>
      <c r="E8" s="183"/>
      <c r="F8" s="183"/>
      <c r="G8" s="183"/>
      <c r="H8" s="183"/>
      <c r="I8" s="189"/>
      <c r="K8" s="53"/>
      <c r="M8" s="68"/>
      <c r="N8" s="50"/>
      <c r="Q8" s="68"/>
      <c r="T8" s="138"/>
      <c r="W8" s="139"/>
      <c r="X8" s="128"/>
    </row>
    <row r="9" spans="1:49" x14ac:dyDescent="0.25">
      <c r="A9" s="197"/>
      <c r="B9" s="168"/>
      <c r="C9" s="69"/>
      <c r="D9" s="158"/>
      <c r="E9" s="169"/>
      <c r="F9" s="169"/>
      <c r="G9" s="169"/>
      <c r="H9" s="169"/>
      <c r="I9" s="158"/>
      <c r="K9" s="53"/>
      <c r="M9" s="68"/>
      <c r="N9" s="50"/>
      <c r="Q9" s="68"/>
      <c r="T9" s="138"/>
      <c r="W9" s="139"/>
      <c r="X9" s="128"/>
    </row>
    <row r="10" spans="1:49" s="6" customFormat="1" x14ac:dyDescent="0.25">
      <c r="A10" s="70" t="s">
        <v>65</v>
      </c>
      <c r="B10" s="48"/>
      <c r="C10" s="50"/>
      <c r="D10" s="54"/>
      <c r="E10" s="57"/>
      <c r="F10" s="57"/>
      <c r="G10" s="57"/>
      <c r="H10" s="57"/>
      <c r="I10" s="54"/>
      <c r="J10" s="54"/>
      <c r="K10" s="66"/>
      <c r="L10" s="90"/>
      <c r="M10" s="68"/>
      <c r="N10" s="50"/>
      <c r="O10" s="50"/>
      <c r="P10" s="50"/>
      <c r="Q10" s="68"/>
      <c r="R10" s="50"/>
      <c r="S10" s="50"/>
      <c r="T10" s="138"/>
      <c r="U10" s="90"/>
      <c r="V10" s="156"/>
      <c r="W10" s="139"/>
      <c r="X10" s="128"/>
      <c r="Y10" s="41"/>
      <c r="Z10" s="42"/>
      <c r="AA10" s="43"/>
      <c r="AB10" s="43"/>
      <c r="AC10" s="44"/>
      <c r="AD10" s="44"/>
      <c r="AE10" s="44"/>
      <c r="AF10" s="44"/>
      <c r="AG10" s="44"/>
      <c r="AH10" s="44"/>
      <c r="AI10" s="45"/>
      <c r="AJ10" s="43"/>
      <c r="AK10" s="43"/>
      <c r="AL10" s="43"/>
      <c r="AM10" s="43"/>
      <c r="AN10" s="44"/>
      <c r="AO10" s="46"/>
      <c r="AP10" s="46"/>
      <c r="AQ10" s="46"/>
      <c r="AR10" s="46"/>
      <c r="AS10" s="46"/>
      <c r="AT10" s="47"/>
      <c r="AU10" s="46"/>
      <c r="AV10" s="46"/>
      <c r="AW10" s="46"/>
    </row>
    <row r="11" spans="1:49" x14ac:dyDescent="0.25">
      <c r="A11" s="124" t="s">
        <v>1</v>
      </c>
      <c r="B11" s="2"/>
      <c r="D11" s="55">
        <f>LN(AT11)</f>
        <v>8.0063675676502459</v>
      </c>
      <c r="I11" s="4">
        <v>6</v>
      </c>
      <c r="K11" s="53"/>
      <c r="L11" s="88"/>
      <c r="M11" s="67">
        <f>0.415*D11+0.0015*SQRT(AT11)</f>
        <v>3.404800924200627</v>
      </c>
      <c r="Q11" s="67"/>
      <c r="S11" s="20">
        <f t="shared" ref="S11:S37" si="0">0.764*I11+0.229</f>
        <v>4.8129999999999997</v>
      </c>
      <c r="T11" s="140"/>
      <c r="U11" s="88">
        <f>S11</f>
        <v>4.8129999999999997</v>
      </c>
      <c r="V11" s="159">
        <v>0.5</v>
      </c>
      <c r="W11" s="141" t="s">
        <v>64</v>
      </c>
      <c r="X11" s="84">
        <v>5</v>
      </c>
      <c r="Y11" s="1">
        <v>-111.58199999999999</v>
      </c>
      <c r="Z11" s="1">
        <v>39.527000000000001</v>
      </c>
      <c r="AA11" s="4"/>
      <c r="AB11" s="4">
        <v>1876</v>
      </c>
      <c r="AC11" s="5">
        <v>3</v>
      </c>
      <c r="AD11" s="5">
        <v>22</v>
      </c>
      <c r="AE11">
        <v>0</v>
      </c>
      <c r="AF11">
        <v>0</v>
      </c>
      <c r="AG11">
        <v>0</v>
      </c>
      <c r="AI11" s="3"/>
      <c r="AJ11" s="4"/>
      <c r="AK11" s="4"/>
      <c r="AL11" s="4"/>
      <c r="AM11" s="4"/>
      <c r="AO11" s="4"/>
      <c r="AP11" s="4"/>
      <c r="AQ11" s="4">
        <v>6</v>
      </c>
      <c r="AR11" s="4">
        <v>6</v>
      </c>
      <c r="AS11" s="4" t="s">
        <v>32</v>
      </c>
      <c r="AT11" s="17">
        <v>3000</v>
      </c>
      <c r="AU11" s="4" t="s">
        <v>32</v>
      </c>
      <c r="AV11" s="4" t="s">
        <v>2</v>
      </c>
    </row>
    <row r="12" spans="1:49" x14ac:dyDescent="0.25">
      <c r="A12" s="124">
        <v>103</v>
      </c>
      <c r="B12" s="2"/>
      <c r="D12" s="55">
        <f t="shared" ref="D12:D14" si="1">LN(AT12)</f>
        <v>11.156250521031495</v>
      </c>
      <c r="I12" s="4">
        <v>7</v>
      </c>
      <c r="K12" s="53"/>
      <c r="L12" s="88"/>
      <c r="M12" s="67">
        <f>0.415*D12+0.0015*SQRT(AT12)</f>
        <v>5.0267066628877588</v>
      </c>
      <c r="Q12" s="67"/>
      <c r="S12" s="20">
        <f t="shared" si="0"/>
        <v>5.577</v>
      </c>
      <c r="T12" s="140"/>
      <c r="U12" s="88">
        <f>S12</f>
        <v>5.577</v>
      </c>
      <c r="V12" s="159">
        <v>0.5</v>
      </c>
      <c r="W12" s="142" t="s">
        <v>67</v>
      </c>
      <c r="X12" s="84"/>
      <c r="Y12" s="1">
        <v>-111.4</v>
      </c>
      <c r="Z12" s="1">
        <v>42.3</v>
      </c>
      <c r="AA12" s="4">
        <v>5</v>
      </c>
      <c r="AB12" s="4">
        <v>1884</v>
      </c>
      <c r="AC12" s="5">
        <v>11</v>
      </c>
      <c r="AD12" s="5">
        <v>10</v>
      </c>
      <c r="AE12">
        <v>8</v>
      </c>
      <c r="AF12">
        <v>50</v>
      </c>
      <c r="AG12">
        <v>0</v>
      </c>
      <c r="AI12" s="3"/>
      <c r="AJ12" s="4"/>
      <c r="AK12" s="4"/>
      <c r="AL12" s="4"/>
      <c r="AM12" s="4"/>
      <c r="AO12" s="4"/>
      <c r="AP12" s="4"/>
      <c r="AQ12" s="4"/>
      <c r="AR12" s="4">
        <v>7</v>
      </c>
      <c r="AS12" s="4" t="s">
        <v>32</v>
      </c>
      <c r="AT12" s="17">
        <v>70000</v>
      </c>
      <c r="AU12" s="4" t="s">
        <v>41</v>
      </c>
      <c r="AV12" s="4"/>
    </row>
    <row r="13" spans="1:49" x14ac:dyDescent="0.25">
      <c r="A13" s="124" t="s">
        <v>1</v>
      </c>
      <c r="B13" s="2"/>
      <c r="D13" s="55">
        <f t="shared" si="1"/>
        <v>8.0063675676502459</v>
      </c>
      <c r="I13" s="4">
        <v>6</v>
      </c>
      <c r="K13" s="53"/>
      <c r="L13" s="88"/>
      <c r="M13" s="67">
        <f>0.415*D13+0.0015*SQRT(AT13)</f>
        <v>3.404800924200627</v>
      </c>
      <c r="Q13" s="67"/>
      <c r="S13" s="20">
        <f t="shared" si="0"/>
        <v>4.8129999999999997</v>
      </c>
      <c r="T13" s="140"/>
      <c r="U13" s="88">
        <f>S13</f>
        <v>4.8129999999999997</v>
      </c>
      <c r="V13" s="159">
        <v>0.5</v>
      </c>
      <c r="W13" s="141" t="s">
        <v>64</v>
      </c>
      <c r="X13" s="84">
        <v>5</v>
      </c>
      <c r="Y13" s="1">
        <v>-113.57299999999999</v>
      </c>
      <c r="Z13" s="1">
        <v>37.106000000000002</v>
      </c>
      <c r="AA13" s="4"/>
      <c r="AB13" s="4">
        <v>1891</v>
      </c>
      <c r="AC13" s="5">
        <v>4</v>
      </c>
      <c r="AD13" s="5">
        <v>20</v>
      </c>
      <c r="AE13">
        <v>13</v>
      </c>
      <c r="AF13">
        <v>55</v>
      </c>
      <c r="AG13">
        <v>0</v>
      </c>
      <c r="AI13" s="3"/>
      <c r="AJ13" s="4"/>
      <c r="AK13" s="4"/>
      <c r="AL13" s="4"/>
      <c r="AM13" s="4"/>
      <c r="AO13" s="4"/>
      <c r="AP13" s="4"/>
      <c r="AQ13" s="4">
        <v>6</v>
      </c>
      <c r="AR13" s="4">
        <v>6</v>
      </c>
      <c r="AS13" s="4" t="s">
        <v>32</v>
      </c>
      <c r="AT13" s="17">
        <v>3000</v>
      </c>
      <c r="AU13" s="4" t="s">
        <v>32</v>
      </c>
      <c r="AV13" s="4" t="s">
        <v>2</v>
      </c>
    </row>
    <row r="14" spans="1:49" ht="26.25" x14ac:dyDescent="0.25">
      <c r="A14" s="86" t="s">
        <v>0</v>
      </c>
      <c r="B14" s="2"/>
      <c r="D14" s="59">
        <f t="shared" si="1"/>
        <v>7.4442486494967053</v>
      </c>
      <c r="F14" s="58">
        <v>800</v>
      </c>
      <c r="G14" s="58">
        <v>500</v>
      </c>
      <c r="I14" s="4">
        <v>7</v>
      </c>
      <c r="K14" s="53"/>
      <c r="L14" s="88"/>
      <c r="M14" s="67"/>
      <c r="O14" s="20">
        <f>1.445*LOG10(F14)-0.809</f>
        <v>3.3859650312033587</v>
      </c>
      <c r="P14" s="20">
        <f>1.341*LOG10(G14)+0.535</f>
        <v>4.154318775814601</v>
      </c>
      <c r="Q14" s="67"/>
      <c r="R14" s="20">
        <f>AVERAGE(N14:Q14)</f>
        <v>3.7701419035089798</v>
      </c>
      <c r="S14" s="20">
        <f t="shared" si="0"/>
        <v>5.577</v>
      </c>
      <c r="T14" s="143">
        <f>1/((1/0.35^2)+(1/0.5^2))</f>
        <v>8.2214765100671133E-2</v>
      </c>
      <c r="U14" s="133">
        <f>(T14/0.35^2*R14)+(T14/0.5^2*S14)</f>
        <v>4.3643435594020001</v>
      </c>
      <c r="V14" s="162">
        <f>SQRT(T14)</f>
        <v>0.28673117218166416</v>
      </c>
      <c r="W14" s="141" t="s">
        <v>71</v>
      </c>
      <c r="X14" s="84">
        <v>0</v>
      </c>
      <c r="Y14" s="1">
        <v>-112.1</v>
      </c>
      <c r="Z14" s="1">
        <v>40</v>
      </c>
      <c r="AA14" s="4"/>
      <c r="AB14" s="4">
        <v>1900</v>
      </c>
      <c r="AC14" s="5">
        <v>8</v>
      </c>
      <c r="AD14" s="5">
        <v>1</v>
      </c>
      <c r="AE14">
        <v>7</v>
      </c>
      <c r="AF14">
        <v>45</v>
      </c>
      <c r="AG14">
        <v>0</v>
      </c>
      <c r="AI14" s="3"/>
      <c r="AJ14" s="4">
        <v>0</v>
      </c>
      <c r="AK14" s="4">
        <v>0</v>
      </c>
      <c r="AL14" s="4">
        <v>0</v>
      </c>
      <c r="AM14" s="4">
        <v>0</v>
      </c>
      <c r="AN14">
        <v>478</v>
      </c>
      <c r="AO14" s="4">
        <v>7</v>
      </c>
      <c r="AP14" s="4"/>
      <c r="AQ14" s="4"/>
      <c r="AR14" s="4">
        <v>7</v>
      </c>
      <c r="AS14" s="4" t="s">
        <v>32</v>
      </c>
      <c r="AT14" s="60">
        <v>1710</v>
      </c>
      <c r="AU14" s="61" t="s">
        <v>60</v>
      </c>
      <c r="AV14" s="4"/>
      <c r="AW14" s="26" t="s">
        <v>44</v>
      </c>
    </row>
    <row r="15" spans="1:49" ht="26.25" x14ac:dyDescent="0.25">
      <c r="A15" s="86">
        <v>104</v>
      </c>
      <c r="B15" s="28"/>
      <c r="C15" s="51"/>
      <c r="D15" s="55">
        <f t="shared" ref="D15:D37" si="2">LN(AT15)</f>
        <v>11.77528972943772</v>
      </c>
      <c r="G15" s="58">
        <v>27260</v>
      </c>
      <c r="H15" s="58">
        <v>7260</v>
      </c>
      <c r="I15" s="27">
        <v>8</v>
      </c>
      <c r="K15" s="53"/>
      <c r="L15" s="88"/>
      <c r="M15" s="67">
        <f t="shared" ref="M15:M20" si="3">0.415*D15+0.0015*SQRT(AT15)</f>
        <v>5.4275779290362518</v>
      </c>
      <c r="P15" s="20">
        <f>1.341*LOG10(G15)+0.535</f>
        <v>6.4830401668596958</v>
      </c>
      <c r="Q15" s="67">
        <f>1.619*LOG10(H15)+0.802</f>
        <v>7.052856388913451</v>
      </c>
      <c r="R15" s="20">
        <f>AVERAGE(N15:Q15)</f>
        <v>6.7679482778865729</v>
      </c>
      <c r="S15" s="20">
        <f t="shared" si="0"/>
        <v>6.3410000000000002</v>
      </c>
      <c r="T15" s="143">
        <f>1/((1/0.35^2)+(1/0.5^2))</f>
        <v>8.2214765100671133E-2</v>
      </c>
      <c r="U15" s="133">
        <f>(T15/0.35^2*R15+T15/0.5^2*S15)</f>
        <v>6.6275424683802502</v>
      </c>
      <c r="V15" s="162">
        <f>SQRT(T15)</f>
        <v>0.28673117218166416</v>
      </c>
      <c r="W15" s="141" t="s">
        <v>63</v>
      </c>
      <c r="X15" s="129"/>
      <c r="Y15" s="29">
        <v>-112.4</v>
      </c>
      <c r="Z15" s="29">
        <v>38.5</v>
      </c>
      <c r="AA15" s="27"/>
      <c r="AB15" s="27">
        <v>1901</v>
      </c>
      <c r="AC15" s="30">
        <v>11</v>
      </c>
      <c r="AD15" s="30">
        <v>14</v>
      </c>
      <c r="AE15" s="31">
        <v>4</v>
      </c>
      <c r="AF15" s="31">
        <v>39</v>
      </c>
      <c r="AG15" s="31">
        <v>0</v>
      </c>
      <c r="AH15" s="31"/>
      <c r="AI15" s="32"/>
      <c r="AJ15" s="27"/>
      <c r="AK15" s="27"/>
      <c r="AL15" s="27"/>
      <c r="AM15" s="27"/>
      <c r="AN15" s="31"/>
      <c r="AO15" s="27"/>
      <c r="AP15" s="27"/>
      <c r="AQ15" s="27"/>
      <c r="AR15" s="27">
        <v>8</v>
      </c>
      <c r="AS15" s="27" t="s">
        <v>32</v>
      </c>
      <c r="AT15" s="33">
        <v>130000</v>
      </c>
      <c r="AU15" s="27" t="s">
        <v>32</v>
      </c>
      <c r="AV15" s="27"/>
      <c r="AW15" s="34" t="s">
        <v>43</v>
      </c>
    </row>
    <row r="16" spans="1:49" ht="39" x14ac:dyDescent="0.25">
      <c r="A16" s="124" t="s">
        <v>0</v>
      </c>
      <c r="B16" s="28"/>
      <c r="C16" s="51"/>
      <c r="D16" s="55">
        <f t="shared" si="2"/>
        <v>11.264464105671729</v>
      </c>
      <c r="I16" s="27">
        <v>7</v>
      </c>
      <c r="K16" s="53"/>
      <c r="L16" s="88"/>
      <c r="M16" s="67">
        <f t="shared" si="3"/>
        <v>5.0936798051668362</v>
      </c>
      <c r="Q16" s="67"/>
      <c r="S16" s="20">
        <f t="shared" si="0"/>
        <v>5.577</v>
      </c>
      <c r="T16" s="140"/>
      <c r="U16" s="88">
        <f>$S$16</f>
        <v>5.577</v>
      </c>
      <c r="V16" s="159">
        <v>0.5</v>
      </c>
      <c r="W16" s="141" t="s">
        <v>68</v>
      </c>
      <c r="X16" s="129">
        <v>0</v>
      </c>
      <c r="Y16" s="29">
        <v>-112.7</v>
      </c>
      <c r="Z16" s="29">
        <v>41.8</v>
      </c>
      <c r="AA16" s="27"/>
      <c r="AB16" s="27">
        <v>1909</v>
      </c>
      <c r="AC16" s="30">
        <v>10</v>
      </c>
      <c r="AD16" s="30">
        <v>6</v>
      </c>
      <c r="AE16" s="31">
        <v>2</v>
      </c>
      <c r="AF16" s="31">
        <v>41</v>
      </c>
      <c r="AG16" s="31">
        <v>0</v>
      </c>
      <c r="AH16" s="31"/>
      <c r="AI16" s="32"/>
      <c r="AJ16" s="27">
        <v>0</v>
      </c>
      <c r="AK16" s="27">
        <v>0</v>
      </c>
      <c r="AL16" s="27">
        <v>0</v>
      </c>
      <c r="AM16" s="27">
        <v>0</v>
      </c>
      <c r="AN16" s="31">
        <v>478</v>
      </c>
      <c r="AO16" s="27">
        <v>7</v>
      </c>
      <c r="AP16" s="27"/>
      <c r="AQ16" s="27"/>
      <c r="AR16" s="27">
        <v>7</v>
      </c>
      <c r="AS16" s="27" t="s">
        <v>32</v>
      </c>
      <c r="AT16" s="33">
        <v>78000</v>
      </c>
      <c r="AU16" s="27" t="s">
        <v>32</v>
      </c>
      <c r="AV16" s="27"/>
      <c r="AW16" s="34" t="s">
        <v>47</v>
      </c>
    </row>
    <row r="17" spans="1:49" ht="26.25" x14ac:dyDescent="0.25">
      <c r="A17" s="86" t="s">
        <v>0</v>
      </c>
      <c r="B17" s="2"/>
      <c r="D17" s="55">
        <f t="shared" si="2"/>
        <v>9.1049798563183568</v>
      </c>
      <c r="F17" s="58">
        <v>9780</v>
      </c>
      <c r="G17" s="58">
        <v>3560</v>
      </c>
      <c r="H17" s="58">
        <v>240</v>
      </c>
      <c r="I17" s="4">
        <v>7</v>
      </c>
      <c r="K17" s="53"/>
      <c r="L17" s="88"/>
      <c r="M17" s="67">
        <f t="shared" si="3"/>
        <v>3.9208691350796951</v>
      </c>
      <c r="O17" s="20">
        <f>1.445*LOG10(F17)-0.809</f>
        <v>4.9570396451680843</v>
      </c>
      <c r="P17" s="20">
        <f>1.341*LOG10(G17)+0.535</f>
        <v>5.2974944472816254</v>
      </c>
      <c r="Q17" s="67"/>
      <c r="R17" s="20">
        <f t="shared" ref="R17:R22" si="4">AVERAGE(N17:Q17)</f>
        <v>5.1272670462248549</v>
      </c>
      <c r="S17" s="20">
        <f t="shared" si="0"/>
        <v>5.577</v>
      </c>
      <c r="T17" s="143">
        <f t="shared" ref="T17:T22" si="5">1/((1/0.35^2)+(1/0.5^2))</f>
        <v>8.2214765100671133E-2</v>
      </c>
      <c r="U17" s="133">
        <f>(T17/0.35^2*R17+T17/0.5^2*S17)</f>
        <v>5.2751658028354731</v>
      </c>
      <c r="V17" s="162">
        <f t="shared" ref="V17:V22" si="6">SQRT(T17)</f>
        <v>0.28673117218166416</v>
      </c>
      <c r="W17" s="141" t="s">
        <v>69</v>
      </c>
      <c r="X17" s="84">
        <v>0</v>
      </c>
      <c r="Y17" s="1">
        <v>-111.8</v>
      </c>
      <c r="Z17" s="1">
        <v>40.700000000000003</v>
      </c>
      <c r="AA17" s="4"/>
      <c r="AB17" s="4">
        <v>1910</v>
      </c>
      <c r="AC17" s="5">
        <v>5</v>
      </c>
      <c r="AD17" s="5">
        <v>22</v>
      </c>
      <c r="AE17">
        <v>14</v>
      </c>
      <c r="AF17">
        <v>28</v>
      </c>
      <c r="AG17">
        <v>0</v>
      </c>
      <c r="AI17" s="3"/>
      <c r="AJ17" s="4">
        <v>0</v>
      </c>
      <c r="AK17" s="4">
        <v>0</v>
      </c>
      <c r="AL17" s="4">
        <v>0</v>
      </c>
      <c r="AM17" s="4">
        <v>0</v>
      </c>
      <c r="AN17">
        <v>478</v>
      </c>
      <c r="AO17" s="4">
        <v>7</v>
      </c>
      <c r="AP17" s="4"/>
      <c r="AQ17" s="4"/>
      <c r="AR17" s="4">
        <v>7</v>
      </c>
      <c r="AS17" s="4" t="s">
        <v>32</v>
      </c>
      <c r="AT17" s="17">
        <v>9000</v>
      </c>
      <c r="AU17" s="4" t="s">
        <v>32</v>
      </c>
      <c r="AV17" s="4"/>
      <c r="AW17" s="26" t="s">
        <v>45</v>
      </c>
    </row>
    <row r="18" spans="1:49" ht="26.25" x14ac:dyDescent="0.25">
      <c r="A18" s="86">
        <v>101</v>
      </c>
      <c r="B18" s="2"/>
      <c r="D18" s="55">
        <f t="shared" si="2"/>
        <v>9.9522777167055594</v>
      </c>
      <c r="E18" s="58">
        <v>9180</v>
      </c>
      <c r="F18" s="58">
        <v>4580</v>
      </c>
      <c r="G18" s="58">
        <v>820</v>
      </c>
      <c r="H18" s="58">
        <v>160</v>
      </c>
      <c r="I18" s="4">
        <v>7</v>
      </c>
      <c r="K18" s="53"/>
      <c r="L18" s="88"/>
      <c r="M18" s="67">
        <f t="shared" si="3"/>
        <v>4.3475659036256484</v>
      </c>
      <c r="O18" s="20">
        <f>1.445*LOG10(F18)-0.809</f>
        <v>4.4809506157155914</v>
      </c>
      <c r="P18" s="20">
        <f>1.341*LOG10(G18)+0.535</f>
        <v>4.4424243760465636</v>
      </c>
      <c r="Q18" s="67">
        <f>1.619*LOG10(H18)+0.802</f>
        <v>4.3704702519199419</v>
      </c>
      <c r="R18" s="20">
        <f t="shared" si="4"/>
        <v>4.4312817478940323</v>
      </c>
      <c r="S18" s="20">
        <f t="shared" si="0"/>
        <v>5.577</v>
      </c>
      <c r="T18" s="143">
        <f t="shared" si="5"/>
        <v>8.2214765100671133E-2</v>
      </c>
      <c r="U18" s="133">
        <f>(T18/0.35^2*R18+T18/0.5^2*S18)</f>
        <v>4.8080615757678071</v>
      </c>
      <c r="V18" s="162">
        <f t="shared" si="6"/>
        <v>0.28673117218166416</v>
      </c>
      <c r="W18" s="141" t="s">
        <v>70</v>
      </c>
      <c r="X18" s="84"/>
      <c r="Y18" s="1">
        <v>-112</v>
      </c>
      <c r="Z18" s="1">
        <v>41.2</v>
      </c>
      <c r="AA18" s="4"/>
      <c r="AB18" s="4">
        <v>1914</v>
      </c>
      <c r="AC18" s="5">
        <v>5</v>
      </c>
      <c r="AD18" s="5">
        <v>13</v>
      </c>
      <c r="AE18">
        <v>17</v>
      </c>
      <c r="AF18">
        <v>15</v>
      </c>
      <c r="AG18">
        <v>0</v>
      </c>
      <c r="AI18" s="3"/>
      <c r="AJ18" s="4"/>
      <c r="AK18" s="4"/>
      <c r="AL18" s="4"/>
      <c r="AM18" s="4"/>
      <c r="AN18">
        <v>298</v>
      </c>
      <c r="AO18" s="4">
        <v>7</v>
      </c>
      <c r="AP18" s="4"/>
      <c r="AQ18" s="4"/>
      <c r="AR18" s="4">
        <v>7</v>
      </c>
      <c r="AS18" s="4" t="s">
        <v>32</v>
      </c>
      <c r="AT18" s="17">
        <v>21000</v>
      </c>
      <c r="AU18" s="4" t="s">
        <v>32</v>
      </c>
      <c r="AV18" s="4"/>
      <c r="AW18" s="26" t="s">
        <v>51</v>
      </c>
    </row>
    <row r="19" spans="1:49" ht="26.25" x14ac:dyDescent="0.25">
      <c r="A19" s="86" t="s">
        <v>0</v>
      </c>
      <c r="B19" s="2"/>
      <c r="D19" s="59">
        <f t="shared" si="2"/>
        <v>8.9159693113736047</v>
      </c>
      <c r="E19" s="58">
        <v>3050</v>
      </c>
      <c r="F19" s="58">
        <v>1590</v>
      </c>
      <c r="G19" s="58">
        <v>660</v>
      </c>
      <c r="I19" s="4">
        <v>6</v>
      </c>
      <c r="K19" s="53"/>
      <c r="L19" s="88"/>
      <c r="M19" s="67">
        <f t="shared" si="3"/>
        <v>3.8295973379822863</v>
      </c>
      <c r="N19" s="20">
        <f>1.306*LOG10(E19)-0.345</f>
        <v>4.2054955901869029</v>
      </c>
      <c r="O19" s="20">
        <f>1.445*LOG10(F19)-0.809</f>
        <v>3.8170188446430524</v>
      </c>
      <c r="P19" s="20">
        <f>1.341*LOG10(G19)+0.535</f>
        <v>4.3160084175616458</v>
      </c>
      <c r="Q19" s="67"/>
      <c r="R19" s="20">
        <f t="shared" si="4"/>
        <v>4.1128409507972004</v>
      </c>
      <c r="S19" s="20">
        <f t="shared" si="0"/>
        <v>4.8129999999999997</v>
      </c>
      <c r="T19" s="143">
        <f t="shared" si="5"/>
        <v>8.2214765100671133E-2</v>
      </c>
      <c r="U19" s="133">
        <f>(T19/0.35^2*R19+T19/0.5^2*S19)</f>
        <v>4.3430945978504703</v>
      </c>
      <c r="V19" s="162">
        <f t="shared" si="6"/>
        <v>0.28673117218166416</v>
      </c>
      <c r="W19" s="141" t="s">
        <v>71</v>
      </c>
      <c r="X19" s="84">
        <v>0</v>
      </c>
      <c r="Y19" s="1">
        <v>-111.6</v>
      </c>
      <c r="Z19" s="1">
        <v>40.4</v>
      </c>
      <c r="AA19" s="4"/>
      <c r="AB19" s="4">
        <v>1915</v>
      </c>
      <c r="AC19" s="5">
        <v>7</v>
      </c>
      <c r="AD19" s="5">
        <v>15</v>
      </c>
      <c r="AE19">
        <v>22</v>
      </c>
      <c r="AF19">
        <v>0</v>
      </c>
      <c r="AG19">
        <v>0</v>
      </c>
      <c r="AI19" s="3"/>
      <c r="AJ19" s="4">
        <v>0</v>
      </c>
      <c r="AK19" s="4">
        <v>0</v>
      </c>
      <c r="AL19" s="4">
        <v>0</v>
      </c>
      <c r="AM19" s="4">
        <v>0</v>
      </c>
      <c r="AN19">
        <v>478</v>
      </c>
      <c r="AO19" s="4">
        <v>6</v>
      </c>
      <c r="AP19" s="4"/>
      <c r="AQ19" s="4"/>
      <c r="AR19" s="4">
        <v>6</v>
      </c>
      <c r="AS19" s="4" t="s">
        <v>32</v>
      </c>
      <c r="AT19" s="60">
        <v>7450</v>
      </c>
      <c r="AU19" s="61" t="s">
        <v>60</v>
      </c>
      <c r="AV19" s="4"/>
      <c r="AW19" s="26" t="s">
        <v>46</v>
      </c>
    </row>
    <row r="20" spans="1:49" ht="65.25" customHeight="1" x14ac:dyDescent="0.25">
      <c r="A20" s="86" t="s">
        <v>1</v>
      </c>
      <c r="B20" s="28">
        <v>5.2</v>
      </c>
      <c r="C20" s="20">
        <v>0.5</v>
      </c>
      <c r="D20" s="59">
        <f t="shared" si="2"/>
        <v>8.5171931914162382</v>
      </c>
      <c r="G20" s="85"/>
      <c r="H20" s="196">
        <v>400</v>
      </c>
      <c r="I20" s="4">
        <v>8</v>
      </c>
      <c r="K20" s="81">
        <f>B20</f>
        <v>5.2</v>
      </c>
      <c r="L20" s="88"/>
      <c r="M20" s="67">
        <f t="shared" si="3"/>
        <v>3.6407011916157206</v>
      </c>
      <c r="Q20" s="67">
        <f>1.619*LOG10(H20)+0.802</f>
        <v>5.0147351259599713</v>
      </c>
      <c r="R20" s="20">
        <f t="shared" si="4"/>
        <v>5.0147351259599713</v>
      </c>
      <c r="S20" s="20">
        <f t="shared" si="0"/>
        <v>6.3410000000000002</v>
      </c>
      <c r="T20" s="143">
        <f t="shared" si="5"/>
        <v>8.2214765100671133E-2</v>
      </c>
      <c r="U20" s="133">
        <f>(T20/0.35^2*Q20)+(T20/0.5^2*S20)</f>
        <v>5.4508893462818602</v>
      </c>
      <c r="V20" s="162">
        <f t="shared" si="6"/>
        <v>0.28673117218166416</v>
      </c>
      <c r="W20" s="201" t="s">
        <v>81</v>
      </c>
      <c r="X20" s="84">
        <v>6.3</v>
      </c>
      <c r="Y20" s="1">
        <v>-112.15</v>
      </c>
      <c r="Z20" s="1">
        <v>38.683</v>
      </c>
      <c r="AA20" s="4"/>
      <c r="AB20" s="4">
        <v>1921</v>
      </c>
      <c r="AC20" s="5">
        <v>9</v>
      </c>
      <c r="AD20" s="5">
        <v>29</v>
      </c>
      <c r="AE20">
        <v>14</v>
      </c>
      <c r="AF20">
        <v>12</v>
      </c>
      <c r="AG20">
        <v>0</v>
      </c>
      <c r="AI20" s="3"/>
      <c r="AJ20" s="4" t="s">
        <v>33</v>
      </c>
      <c r="AK20" s="4"/>
      <c r="AL20" s="4"/>
      <c r="AM20" s="4"/>
      <c r="AO20" s="4"/>
      <c r="AP20" s="4"/>
      <c r="AQ20" s="4">
        <v>8</v>
      </c>
      <c r="AR20" s="4">
        <v>8</v>
      </c>
      <c r="AS20" s="4" t="s">
        <v>32</v>
      </c>
      <c r="AT20" s="60">
        <v>5000</v>
      </c>
      <c r="AU20" s="61" t="s">
        <v>60</v>
      </c>
      <c r="AV20" s="4" t="s">
        <v>2</v>
      </c>
    </row>
    <row r="21" spans="1:49" ht="54" customHeight="1" x14ac:dyDescent="0.25">
      <c r="A21" s="86" t="s">
        <v>1</v>
      </c>
      <c r="B21" s="2"/>
      <c r="D21" s="59"/>
      <c r="G21" s="196">
        <v>300</v>
      </c>
      <c r="I21" s="4">
        <v>7</v>
      </c>
      <c r="K21" s="53"/>
      <c r="L21" s="88"/>
      <c r="M21" s="67"/>
      <c r="P21" s="20">
        <f>1.341*LOG10(G21)+0.535</f>
        <v>3.8568196025790678</v>
      </c>
      <c r="Q21" s="67"/>
      <c r="R21" s="20">
        <f t="shared" si="4"/>
        <v>3.8568196025790678</v>
      </c>
      <c r="S21" s="20">
        <f t="shared" si="0"/>
        <v>5.577</v>
      </c>
      <c r="T21" s="143">
        <f t="shared" si="5"/>
        <v>8.2214765100671133E-2</v>
      </c>
      <c r="U21" s="133">
        <f>(T21/0.35^2*P21)+(T21/0.5^2*S21)</f>
        <v>4.4225165117980323</v>
      </c>
      <c r="V21" s="162">
        <f t="shared" si="6"/>
        <v>0.28673117218166416</v>
      </c>
      <c r="W21" s="202" t="s">
        <v>79</v>
      </c>
      <c r="X21" s="2">
        <v>5.7</v>
      </c>
      <c r="Y21" s="1">
        <v>-112.15</v>
      </c>
      <c r="Z21" s="1">
        <v>38.683</v>
      </c>
      <c r="AA21" s="4"/>
      <c r="AB21" s="4">
        <v>1921</v>
      </c>
      <c r="AC21" s="5">
        <v>9</v>
      </c>
      <c r="AD21" s="5">
        <v>30</v>
      </c>
      <c r="AE21">
        <v>2</v>
      </c>
      <c r="AF21">
        <v>30</v>
      </c>
      <c r="AG21">
        <v>0</v>
      </c>
      <c r="AH21" s="20">
        <v>0.5</v>
      </c>
      <c r="AI21" s="20">
        <v>0.01</v>
      </c>
      <c r="AJ21" s="4"/>
      <c r="AK21" s="4"/>
      <c r="AL21" s="4"/>
      <c r="AM21" s="4"/>
      <c r="AO21" s="4"/>
      <c r="AP21" s="4"/>
      <c r="AQ21" s="4">
        <v>7</v>
      </c>
      <c r="AR21" s="4">
        <v>7</v>
      </c>
      <c r="AS21" s="4" t="s">
        <v>32</v>
      </c>
      <c r="AT21" s="17"/>
      <c r="AU21" s="4"/>
      <c r="AV21" s="4" t="s">
        <v>2</v>
      </c>
    </row>
    <row r="22" spans="1:49" ht="54.75" customHeight="1" x14ac:dyDescent="0.25">
      <c r="A22" s="86" t="s">
        <v>1</v>
      </c>
      <c r="B22" s="2"/>
      <c r="G22" s="196">
        <v>300</v>
      </c>
      <c r="I22" s="4">
        <v>8</v>
      </c>
      <c r="K22" s="53"/>
      <c r="L22" s="88"/>
      <c r="M22" s="67"/>
      <c r="P22" s="20">
        <f>1.341*LOG10(G22)+0.535</f>
        <v>3.8568196025790678</v>
      </c>
      <c r="Q22" s="67"/>
      <c r="R22" s="20">
        <f t="shared" si="4"/>
        <v>3.8568196025790678</v>
      </c>
      <c r="S22" s="20">
        <f t="shared" si="0"/>
        <v>6.3410000000000002</v>
      </c>
      <c r="T22" s="143">
        <f t="shared" si="5"/>
        <v>8.2214765100671133E-2</v>
      </c>
      <c r="U22" s="133">
        <f>(T22/0.35^2*P22)+(T22/0.5^2*S22)</f>
        <v>4.6737648339456825</v>
      </c>
      <c r="V22" s="162">
        <f t="shared" si="6"/>
        <v>0.28673117218166416</v>
      </c>
      <c r="W22" s="202" t="s">
        <v>80</v>
      </c>
      <c r="X22" s="2">
        <v>6.3</v>
      </c>
      <c r="Y22" s="1">
        <v>-112.15</v>
      </c>
      <c r="Z22" s="1">
        <v>38.683</v>
      </c>
      <c r="AA22" s="4"/>
      <c r="AB22" s="4">
        <v>1921</v>
      </c>
      <c r="AC22" s="5">
        <v>10</v>
      </c>
      <c r="AD22" s="5">
        <v>1</v>
      </c>
      <c r="AE22">
        <v>15</v>
      </c>
      <c r="AF22">
        <v>32</v>
      </c>
      <c r="AG22">
        <v>0</v>
      </c>
      <c r="AH22" s="20">
        <v>0.5</v>
      </c>
      <c r="AI22" s="20">
        <v>0.01</v>
      </c>
      <c r="AJ22" s="4"/>
      <c r="AK22" s="4"/>
      <c r="AL22" s="4"/>
      <c r="AM22" s="4"/>
      <c r="AO22" s="4"/>
      <c r="AP22" s="4"/>
      <c r="AQ22" s="4">
        <v>8</v>
      </c>
      <c r="AR22" s="4">
        <v>8</v>
      </c>
      <c r="AS22" s="4" t="s">
        <v>32</v>
      </c>
      <c r="AT22" s="17"/>
      <c r="AU22" s="4"/>
      <c r="AV22" s="4" t="s">
        <v>2</v>
      </c>
    </row>
    <row r="23" spans="1:49" ht="36.75" x14ac:dyDescent="0.25">
      <c r="A23" s="124">
        <v>101</v>
      </c>
      <c r="B23" s="2"/>
      <c r="D23" s="55">
        <f t="shared" si="2"/>
        <v>10.858998997563564</v>
      </c>
      <c r="I23" s="4">
        <v>6</v>
      </c>
      <c r="K23" s="53"/>
      <c r="L23" s="88"/>
      <c r="M23" s="67">
        <f>0.415*D23+0.0015*SQRT(AT23)</f>
        <v>4.8485372115186207</v>
      </c>
      <c r="Q23" s="67"/>
      <c r="S23" s="20">
        <f t="shared" si="0"/>
        <v>4.8129999999999997</v>
      </c>
      <c r="T23" s="140"/>
      <c r="U23" s="88">
        <f>$S$23</f>
        <v>4.8129999999999997</v>
      </c>
      <c r="V23" s="159">
        <v>0.5</v>
      </c>
      <c r="W23" s="141" t="s">
        <v>72</v>
      </c>
      <c r="X23" s="84"/>
      <c r="Y23" s="1">
        <v>-111.5</v>
      </c>
      <c r="Z23" s="1">
        <v>42.5</v>
      </c>
      <c r="AA23" s="4"/>
      <c r="AB23" s="4">
        <v>1924</v>
      </c>
      <c r="AC23" s="5">
        <v>11</v>
      </c>
      <c r="AD23" s="5">
        <v>25</v>
      </c>
      <c r="AE23">
        <v>7</v>
      </c>
      <c r="AF23">
        <v>10</v>
      </c>
      <c r="AG23">
        <v>0</v>
      </c>
      <c r="AI23" s="3"/>
      <c r="AJ23" s="4"/>
      <c r="AK23" s="4"/>
      <c r="AL23" s="4"/>
      <c r="AM23" s="4"/>
      <c r="AN23">
        <v>38</v>
      </c>
      <c r="AO23" s="4">
        <v>6</v>
      </c>
      <c r="AP23" s="4"/>
      <c r="AQ23" s="4"/>
      <c r="AR23" s="4">
        <v>6</v>
      </c>
      <c r="AS23" s="4" t="s">
        <v>32</v>
      </c>
      <c r="AT23" s="17">
        <v>52000</v>
      </c>
      <c r="AU23" s="4" t="s">
        <v>32</v>
      </c>
      <c r="AV23" s="4"/>
    </row>
    <row r="24" spans="1:49" x14ac:dyDescent="0.25">
      <c r="A24" s="86" t="s">
        <v>1</v>
      </c>
      <c r="B24" s="2"/>
      <c r="D24" s="55">
        <f t="shared" si="2"/>
        <v>8.0063675676502459</v>
      </c>
      <c r="I24" s="4">
        <v>6</v>
      </c>
      <c r="K24" s="53"/>
      <c r="L24" s="88"/>
      <c r="M24" s="67">
        <f>0.415*D24+0.0015*SQRT(AT24)</f>
        <v>3.404800924200627</v>
      </c>
      <c r="Q24" s="67"/>
      <c r="S24" s="20">
        <f t="shared" si="0"/>
        <v>4.8129999999999997</v>
      </c>
      <c r="T24" s="143">
        <f>1/((1/0.339^2)+(1/0.5^2))</f>
        <v>7.8730053902077435E-2</v>
      </c>
      <c r="U24" s="133">
        <f>(T24/0.339^2*M24+T24/0.5^2*S24)</f>
        <v>3.8482712807707875</v>
      </c>
      <c r="V24" s="162">
        <f>SQRT(T24)</f>
        <v>0.28058876296473001</v>
      </c>
      <c r="W24" s="142" t="s">
        <v>73</v>
      </c>
      <c r="X24" s="84">
        <v>5</v>
      </c>
      <c r="Y24" s="1">
        <v>-112.827</v>
      </c>
      <c r="Z24" s="1">
        <v>37.841999999999999</v>
      </c>
      <c r="AA24" s="4"/>
      <c r="AB24" s="4">
        <v>1933</v>
      </c>
      <c r="AC24" s="5">
        <v>1</v>
      </c>
      <c r="AD24" s="5">
        <v>20</v>
      </c>
      <c r="AE24">
        <v>13</v>
      </c>
      <c r="AF24">
        <v>10</v>
      </c>
      <c r="AG24">
        <v>0</v>
      </c>
      <c r="AI24" s="3"/>
      <c r="AJ24" s="4"/>
      <c r="AK24" s="4"/>
      <c r="AL24" s="4"/>
      <c r="AM24" s="4"/>
      <c r="AO24" s="4"/>
      <c r="AP24" s="4"/>
      <c r="AQ24" s="4">
        <v>6</v>
      </c>
      <c r="AR24" s="4">
        <v>6</v>
      </c>
      <c r="AS24" s="4" t="s">
        <v>32</v>
      </c>
      <c r="AT24" s="17">
        <v>3000</v>
      </c>
      <c r="AU24" s="4" t="s">
        <v>32</v>
      </c>
      <c r="AV24" s="4" t="s">
        <v>2</v>
      </c>
    </row>
    <row r="25" spans="1:49" x14ac:dyDescent="0.25">
      <c r="A25" s="22">
        <v>102</v>
      </c>
      <c r="B25" s="36">
        <f>(2/3)*LOG10(AVERAGE(8.5E+25,8.8E+25))-10.7</f>
        <v>6.5913440716432099</v>
      </c>
      <c r="C25" s="51">
        <v>0.3</v>
      </c>
      <c r="D25" s="55">
        <f t="shared" si="2"/>
        <v>12.911642346088676</v>
      </c>
      <c r="I25" s="4">
        <v>8</v>
      </c>
      <c r="K25" s="52">
        <f>B25</f>
        <v>6.5913440716432099</v>
      </c>
      <c r="L25" s="88"/>
      <c r="M25" s="67"/>
      <c r="Q25" s="67"/>
      <c r="S25" s="20">
        <f t="shared" si="0"/>
        <v>6.3410000000000002</v>
      </c>
      <c r="T25" s="140"/>
      <c r="U25" s="88"/>
      <c r="V25" s="159"/>
      <c r="W25" s="144" t="s">
        <v>77</v>
      </c>
      <c r="X25" s="130">
        <f>(2/3)*LOG10(AVERAGE(8.5E+25,8.8E+25))-10.7</f>
        <v>6.5913440716432099</v>
      </c>
      <c r="Y25" s="21">
        <v>-112.795</v>
      </c>
      <c r="Z25" s="21">
        <v>41.658000000000001</v>
      </c>
      <c r="AA25" s="4">
        <v>9</v>
      </c>
      <c r="AB25" s="13">
        <v>1934</v>
      </c>
      <c r="AC25" s="14">
        <v>3</v>
      </c>
      <c r="AD25" s="14">
        <v>12</v>
      </c>
      <c r="AE25" s="14">
        <v>15</v>
      </c>
      <c r="AF25" s="14">
        <v>5</v>
      </c>
      <c r="AG25" s="14">
        <v>48</v>
      </c>
      <c r="AH25" s="23">
        <v>0.3</v>
      </c>
      <c r="AI25" s="3">
        <v>0.01</v>
      </c>
      <c r="AJ25" s="4" t="s">
        <v>34</v>
      </c>
      <c r="AK25" s="4"/>
      <c r="AL25" s="4"/>
      <c r="AM25" s="4"/>
      <c r="AO25" s="4">
        <v>8</v>
      </c>
      <c r="AP25" s="4"/>
      <c r="AQ25" s="4"/>
      <c r="AR25" s="4">
        <v>8</v>
      </c>
      <c r="AS25" s="4" t="s">
        <v>32</v>
      </c>
      <c r="AT25" s="17">
        <v>405000</v>
      </c>
      <c r="AU25" s="4" t="s">
        <v>32</v>
      </c>
      <c r="AV25" s="4"/>
    </row>
    <row r="26" spans="1:49" x14ac:dyDescent="0.25">
      <c r="A26" s="22">
        <v>102</v>
      </c>
      <c r="B26" s="37">
        <f>(2/3)*LOG10(7.7E+24)-10.7</f>
        <v>5.8909938167816556</v>
      </c>
      <c r="C26" s="51">
        <v>0.3</v>
      </c>
      <c r="D26" s="55">
        <f t="shared" si="2"/>
        <v>12.013700752882718</v>
      </c>
      <c r="I26" s="4">
        <v>7</v>
      </c>
      <c r="K26" s="52">
        <f>B26</f>
        <v>5.8909938167816556</v>
      </c>
      <c r="L26" s="88"/>
      <c r="M26" s="67"/>
      <c r="Q26" s="67"/>
      <c r="S26" s="20">
        <f t="shared" si="0"/>
        <v>5.577</v>
      </c>
      <c r="T26" s="140"/>
      <c r="U26" s="88"/>
      <c r="V26" s="159"/>
      <c r="W26" s="144" t="s">
        <v>77</v>
      </c>
      <c r="X26" s="131">
        <f>(2/3)*LOG10(7.7E+24)-10.7</f>
        <v>5.8909938167816556</v>
      </c>
      <c r="Y26" s="24">
        <v>-112.745</v>
      </c>
      <c r="Z26" s="24">
        <v>41.570999999999998</v>
      </c>
      <c r="AA26" s="4">
        <v>9</v>
      </c>
      <c r="AB26" s="4">
        <v>1934</v>
      </c>
      <c r="AC26" s="5">
        <v>3</v>
      </c>
      <c r="AD26" s="5">
        <v>12</v>
      </c>
      <c r="AE26">
        <v>18</v>
      </c>
      <c r="AF26">
        <v>20</v>
      </c>
      <c r="AG26">
        <v>12</v>
      </c>
      <c r="AH26" s="23">
        <v>0.3</v>
      </c>
      <c r="AI26" s="3">
        <v>0.01</v>
      </c>
      <c r="AJ26" s="4" t="s">
        <v>35</v>
      </c>
      <c r="AK26" s="4" t="s">
        <v>36</v>
      </c>
      <c r="AL26" s="4"/>
      <c r="AM26" s="4"/>
      <c r="AO26" s="4">
        <v>7</v>
      </c>
      <c r="AP26" s="4"/>
      <c r="AQ26" s="4"/>
      <c r="AR26" s="4">
        <v>7</v>
      </c>
      <c r="AS26" s="4" t="s">
        <v>32</v>
      </c>
      <c r="AT26" s="17">
        <v>165000</v>
      </c>
      <c r="AU26" s="4" t="s">
        <v>32</v>
      </c>
      <c r="AV26" s="4"/>
    </row>
    <row r="27" spans="1:49" x14ac:dyDescent="0.25">
      <c r="A27" s="77">
        <v>101</v>
      </c>
      <c r="B27" s="75">
        <v>5.25</v>
      </c>
      <c r="C27" s="20">
        <v>0.3</v>
      </c>
      <c r="D27" s="55">
        <f t="shared" si="2"/>
        <v>11.264464105671729</v>
      </c>
      <c r="I27" s="4">
        <v>7</v>
      </c>
      <c r="K27" s="73">
        <f>B27</f>
        <v>5.25</v>
      </c>
      <c r="L27" s="88"/>
      <c r="M27" s="67">
        <f t="shared" ref="M27:M37" si="7">0.415*D27+0.0015*SQRT(AT27)</f>
        <v>5.0936798051668362</v>
      </c>
      <c r="Q27" s="67"/>
      <c r="S27" s="20">
        <f t="shared" si="0"/>
        <v>5.577</v>
      </c>
      <c r="T27" s="140"/>
      <c r="U27" s="88"/>
      <c r="V27" s="159"/>
      <c r="W27" s="144" t="s">
        <v>78</v>
      </c>
      <c r="X27" s="69">
        <v>5.25</v>
      </c>
      <c r="Y27" s="1">
        <v>-112.5</v>
      </c>
      <c r="Z27" s="1">
        <v>41.5</v>
      </c>
      <c r="AA27" s="4"/>
      <c r="AB27" s="4">
        <v>1934</v>
      </c>
      <c r="AC27" s="5">
        <v>4</v>
      </c>
      <c r="AD27" s="5">
        <v>14</v>
      </c>
      <c r="AE27">
        <v>21</v>
      </c>
      <c r="AF27">
        <v>26</v>
      </c>
      <c r="AG27">
        <v>32</v>
      </c>
      <c r="AI27" s="3"/>
      <c r="AJ27" s="4" t="s">
        <v>37</v>
      </c>
      <c r="AK27" s="4"/>
      <c r="AL27" s="4"/>
      <c r="AM27" s="4"/>
      <c r="AN27">
        <v>258</v>
      </c>
      <c r="AO27" s="4"/>
      <c r="AP27" s="4" t="s">
        <v>3</v>
      </c>
      <c r="AQ27" s="4"/>
      <c r="AR27" s="4">
        <v>7</v>
      </c>
      <c r="AS27" s="4" t="s">
        <v>1</v>
      </c>
      <c r="AT27" s="17">
        <v>78000</v>
      </c>
      <c r="AU27" s="4" t="s">
        <v>32</v>
      </c>
      <c r="AV27" s="4"/>
    </row>
    <row r="28" spans="1:49" x14ac:dyDescent="0.25">
      <c r="A28" s="77">
        <v>101</v>
      </c>
      <c r="B28" s="76">
        <v>5.5</v>
      </c>
      <c r="C28" s="20">
        <v>0.3</v>
      </c>
      <c r="D28" s="55">
        <f t="shared" si="2"/>
        <v>11.264464105671729</v>
      </c>
      <c r="I28" s="4">
        <v>6</v>
      </c>
      <c r="K28" s="73">
        <f>B28</f>
        <v>5.5</v>
      </c>
      <c r="L28" s="88"/>
      <c r="M28" s="67">
        <f t="shared" si="7"/>
        <v>5.0936798051668362</v>
      </c>
      <c r="Q28" s="67"/>
      <c r="S28" s="20">
        <f t="shared" si="0"/>
        <v>4.8129999999999997</v>
      </c>
      <c r="T28" s="140"/>
      <c r="U28" s="88"/>
      <c r="V28" s="159"/>
      <c r="W28" s="144" t="s">
        <v>78</v>
      </c>
      <c r="X28" s="84">
        <v>5.5</v>
      </c>
      <c r="Y28" s="1">
        <v>-113</v>
      </c>
      <c r="Z28" s="1">
        <v>41.5</v>
      </c>
      <c r="AA28" s="4"/>
      <c r="AB28" s="4">
        <v>1934</v>
      </c>
      <c r="AC28" s="5">
        <v>5</v>
      </c>
      <c r="AD28" s="5">
        <v>6</v>
      </c>
      <c r="AE28">
        <v>8</v>
      </c>
      <c r="AF28">
        <v>9</v>
      </c>
      <c r="AG28">
        <v>49</v>
      </c>
      <c r="AI28" s="3"/>
      <c r="AJ28" s="4" t="s">
        <v>38</v>
      </c>
      <c r="AK28" s="4"/>
      <c r="AL28" s="4"/>
      <c r="AM28" s="4"/>
      <c r="AN28">
        <v>258</v>
      </c>
      <c r="AO28" s="4">
        <v>6</v>
      </c>
      <c r="AP28" s="4"/>
      <c r="AQ28" s="4"/>
      <c r="AR28" s="4">
        <v>6</v>
      </c>
      <c r="AS28" s="4" t="s">
        <v>32</v>
      </c>
      <c r="AT28" s="17">
        <v>78000</v>
      </c>
      <c r="AU28" s="4" t="s">
        <v>32</v>
      </c>
      <c r="AV28" s="4"/>
    </row>
    <row r="29" spans="1:49" ht="26.25" x14ac:dyDescent="0.25">
      <c r="A29" s="86">
        <v>101</v>
      </c>
      <c r="B29" s="2"/>
      <c r="D29" s="59">
        <f t="shared" si="2"/>
        <v>9.2495610851294643</v>
      </c>
      <c r="E29" s="58">
        <v>5590</v>
      </c>
      <c r="F29" s="58">
        <v>1870</v>
      </c>
      <c r="G29" s="58">
        <v>580</v>
      </c>
      <c r="I29" s="4">
        <v>6</v>
      </c>
      <c r="K29" s="53"/>
      <c r="L29" s="88"/>
      <c r="M29" s="67">
        <f t="shared" si="7"/>
        <v>3.9915384357365111</v>
      </c>
      <c r="N29" s="20">
        <f>1.306*LOG10(E29)-0.345</f>
        <v>4.5491198210996693</v>
      </c>
      <c r="O29" s="20">
        <f>1.445*LOG10(F29)-0.809</f>
        <v>3.9188111214452412</v>
      </c>
      <c r="P29" s="20">
        <f>1.341*LOG10(G29)+0.535</f>
        <v>4.2407569393678992</v>
      </c>
      <c r="Q29" s="67"/>
      <c r="R29" s="20">
        <f>AVERAGE(N29:Q29)</f>
        <v>4.2362292939709363</v>
      </c>
      <c r="S29" s="20">
        <f t="shared" si="0"/>
        <v>4.8129999999999997</v>
      </c>
      <c r="T29" s="143">
        <f>1/((1/0.339^2)+(1/0.35^2)+(1/0.5^2))</f>
        <v>4.7927391639509563E-2</v>
      </c>
      <c r="U29" s="133">
        <f>(T29/0.339^2*M29+T29/0.35^2*R29+T29/0.5^2*S29)</f>
        <v>4.2447543095795028</v>
      </c>
      <c r="V29" s="162">
        <f>SQRT(T29)</f>
        <v>0.21892325513638236</v>
      </c>
      <c r="W29" s="141" t="s">
        <v>74</v>
      </c>
      <c r="X29" s="84"/>
      <c r="Y29" s="1">
        <v>-112</v>
      </c>
      <c r="Z29" s="1">
        <v>40.700000000000003</v>
      </c>
      <c r="AA29" s="4"/>
      <c r="AB29" s="4">
        <v>1943</v>
      </c>
      <c r="AC29" s="5">
        <v>2</v>
      </c>
      <c r="AD29" s="5">
        <v>22</v>
      </c>
      <c r="AE29">
        <v>14</v>
      </c>
      <c r="AF29">
        <v>20</v>
      </c>
      <c r="AG29">
        <v>0</v>
      </c>
      <c r="AI29" s="3"/>
      <c r="AJ29" s="4"/>
      <c r="AK29" s="4"/>
      <c r="AL29" s="4"/>
      <c r="AM29" s="4"/>
      <c r="AN29">
        <v>265</v>
      </c>
      <c r="AO29" s="4">
        <v>6</v>
      </c>
      <c r="AP29" s="4"/>
      <c r="AQ29" s="4"/>
      <c r="AR29" s="4">
        <v>6</v>
      </c>
      <c r="AS29" s="4" t="s">
        <v>32</v>
      </c>
      <c r="AT29" s="60">
        <v>10400</v>
      </c>
      <c r="AU29" s="61" t="s">
        <v>60</v>
      </c>
      <c r="AV29" s="4"/>
      <c r="AW29" s="26" t="s">
        <v>49</v>
      </c>
    </row>
    <row r="30" spans="1:49" x14ac:dyDescent="0.25">
      <c r="A30" s="77">
        <v>101</v>
      </c>
      <c r="B30" s="76">
        <v>4.7</v>
      </c>
      <c r="C30" s="20">
        <v>0.2</v>
      </c>
      <c r="D30" s="55">
        <f t="shared" si="2"/>
        <v>8.2940496401020276</v>
      </c>
      <c r="I30" s="4">
        <v>5</v>
      </c>
      <c r="K30" s="73">
        <f>B30</f>
        <v>4.7</v>
      </c>
      <c r="L30" s="88"/>
      <c r="M30" s="67">
        <f t="shared" si="7"/>
        <v>3.5368989304473923</v>
      </c>
      <c r="Q30" s="67"/>
      <c r="S30" s="20">
        <f t="shared" si="0"/>
        <v>4.0490000000000004</v>
      </c>
      <c r="T30" s="140"/>
      <c r="U30" s="88"/>
      <c r="V30" s="159"/>
      <c r="W30" s="144" t="s">
        <v>78</v>
      </c>
      <c r="X30" s="84">
        <v>4.7</v>
      </c>
      <c r="Y30" s="1">
        <v>-113.5</v>
      </c>
      <c r="Z30" s="1">
        <v>37</v>
      </c>
      <c r="AA30" s="4"/>
      <c r="AB30" s="4">
        <v>1949</v>
      </c>
      <c r="AC30" s="5">
        <v>11</v>
      </c>
      <c r="AD30" s="5">
        <v>2</v>
      </c>
      <c r="AE30">
        <v>2</v>
      </c>
      <c r="AF30">
        <v>29</v>
      </c>
      <c r="AG30">
        <v>38</v>
      </c>
      <c r="AI30" s="3"/>
      <c r="AJ30" s="4" t="s">
        <v>39</v>
      </c>
      <c r="AK30" s="4"/>
      <c r="AL30" s="4"/>
      <c r="AM30" s="4"/>
      <c r="AN30">
        <v>265</v>
      </c>
      <c r="AO30" s="4">
        <v>5</v>
      </c>
      <c r="AP30" s="4"/>
      <c r="AQ30" s="4"/>
      <c r="AR30" s="4">
        <v>5</v>
      </c>
      <c r="AS30" s="4" t="s">
        <v>32</v>
      </c>
      <c r="AT30" s="17">
        <v>4000</v>
      </c>
      <c r="AU30" s="4" t="s">
        <v>32</v>
      </c>
      <c r="AV30" s="4"/>
    </row>
    <row r="31" spans="1:49" x14ac:dyDescent="0.25">
      <c r="A31" s="77">
        <v>101</v>
      </c>
      <c r="B31" s="76">
        <v>5.3</v>
      </c>
      <c r="C31" s="20">
        <v>0.2</v>
      </c>
      <c r="D31" s="55">
        <f t="shared" si="2"/>
        <v>9.3056505517805075</v>
      </c>
      <c r="I31" s="4">
        <v>5</v>
      </c>
      <c r="K31" s="73">
        <f>B31</f>
        <v>5.3</v>
      </c>
      <c r="L31" s="88"/>
      <c r="M31" s="67">
        <f t="shared" si="7"/>
        <v>4.0191663062144336</v>
      </c>
      <c r="Q31" s="67"/>
      <c r="S31" s="20">
        <f t="shared" si="0"/>
        <v>4.0490000000000004</v>
      </c>
      <c r="T31" s="140"/>
      <c r="U31" s="88"/>
      <c r="V31" s="159"/>
      <c r="W31" s="144" t="s">
        <v>78</v>
      </c>
      <c r="X31" s="84">
        <v>5.3</v>
      </c>
      <c r="Y31" s="1">
        <v>-110.5</v>
      </c>
      <c r="Z31" s="1">
        <v>40.5</v>
      </c>
      <c r="AA31" s="4"/>
      <c r="AB31" s="4">
        <v>1950</v>
      </c>
      <c r="AC31" s="5">
        <v>1</v>
      </c>
      <c r="AD31" s="5">
        <v>18</v>
      </c>
      <c r="AE31">
        <v>1</v>
      </c>
      <c r="AF31">
        <v>55</v>
      </c>
      <c r="AG31">
        <v>51</v>
      </c>
      <c r="AI31" s="3"/>
      <c r="AJ31" s="4" t="s">
        <v>40</v>
      </c>
      <c r="AK31" s="4"/>
      <c r="AL31" s="4"/>
      <c r="AM31" s="4"/>
      <c r="AN31">
        <v>24</v>
      </c>
      <c r="AO31" s="4">
        <v>5</v>
      </c>
      <c r="AP31" s="4"/>
      <c r="AQ31" s="4"/>
      <c r="AR31" s="4">
        <v>5</v>
      </c>
      <c r="AS31" s="4" t="s">
        <v>32</v>
      </c>
      <c r="AT31" s="17">
        <v>11000</v>
      </c>
      <c r="AU31" s="4" t="s">
        <v>32</v>
      </c>
      <c r="AV31" s="4"/>
    </row>
    <row r="32" spans="1:49" ht="24.75" x14ac:dyDescent="0.25">
      <c r="A32" s="86">
        <v>101</v>
      </c>
      <c r="B32" s="28"/>
      <c r="C32" s="51"/>
      <c r="D32" s="59">
        <f t="shared" si="2"/>
        <v>8.6411791711972281</v>
      </c>
      <c r="E32" s="58">
        <v>3100</v>
      </c>
      <c r="F32" s="58">
        <v>1240</v>
      </c>
      <c r="G32" s="58">
        <v>690</v>
      </c>
      <c r="I32" s="27">
        <v>6</v>
      </c>
      <c r="K32" s="53"/>
      <c r="L32" s="88"/>
      <c r="M32" s="67">
        <f t="shared" si="7"/>
        <v>3.6989388132896739</v>
      </c>
      <c r="N32" s="20">
        <f>1.306*LOG10(E32)-0.345</f>
        <v>4.2147183721475603</v>
      </c>
      <c r="O32" s="20">
        <f>1.445*LOG10(F32)-0.809</f>
        <v>3.6609943350594296</v>
      </c>
      <c r="P32" s="20">
        <f>1.341*LOG10(G32)+0.535</f>
        <v>4.3418966306786588</v>
      </c>
      <c r="Q32" s="67"/>
      <c r="R32" s="20">
        <f>AVERAGE(N32:Q32)</f>
        <v>4.0725364459618829</v>
      </c>
      <c r="S32" s="20">
        <f t="shared" si="0"/>
        <v>4.8129999999999997</v>
      </c>
      <c r="T32" s="143">
        <f>1/((1/0.339^2)+(1/0.35^2)+(1/0.5^2))</f>
        <v>4.7927391639509563E-2</v>
      </c>
      <c r="U32" s="133">
        <f>(T32/0.339^2*M32+T32/0.35^2*R32+T32/0.5^2*S32)</f>
        <v>4.0586828377103874</v>
      </c>
      <c r="V32" s="162">
        <f>SQRT(T32)</f>
        <v>0.21892325513638236</v>
      </c>
      <c r="W32" s="141" t="s">
        <v>75</v>
      </c>
      <c r="X32" s="129"/>
      <c r="Y32" s="29">
        <v>-111.5</v>
      </c>
      <c r="Z32" s="29">
        <v>40.5</v>
      </c>
      <c r="AA32" s="27"/>
      <c r="AB32" s="27">
        <v>1958</v>
      </c>
      <c r="AC32" s="30">
        <v>2</v>
      </c>
      <c r="AD32" s="30">
        <v>13</v>
      </c>
      <c r="AE32" s="31">
        <v>22</v>
      </c>
      <c r="AF32" s="31">
        <v>52</v>
      </c>
      <c r="AG32" s="31">
        <v>0</v>
      </c>
      <c r="AH32" s="31"/>
      <c r="AI32" s="32"/>
      <c r="AJ32" s="27"/>
      <c r="AK32" s="27"/>
      <c r="AL32" s="27"/>
      <c r="AM32" s="27"/>
      <c r="AN32" s="31">
        <v>31</v>
      </c>
      <c r="AO32" s="27">
        <v>6</v>
      </c>
      <c r="AP32" s="27"/>
      <c r="AQ32" s="27"/>
      <c r="AR32" s="27">
        <v>6</v>
      </c>
      <c r="AS32" s="27" t="s">
        <v>32</v>
      </c>
      <c r="AT32" s="62">
        <v>5660</v>
      </c>
      <c r="AU32" s="61" t="s">
        <v>60</v>
      </c>
      <c r="AV32" s="27"/>
      <c r="AW32" s="35" t="s">
        <v>50</v>
      </c>
    </row>
    <row r="33" spans="1:50" s="31" customFormat="1" ht="27" customHeight="1" x14ac:dyDescent="0.25">
      <c r="A33" s="86">
        <v>101</v>
      </c>
      <c r="B33" s="28"/>
      <c r="C33" s="51">
        <v>0.2</v>
      </c>
      <c r="D33" s="79">
        <f t="shared" si="2"/>
        <v>8.2940496401020276</v>
      </c>
      <c r="E33" s="80"/>
      <c r="F33" s="80"/>
      <c r="G33" s="80"/>
      <c r="H33" s="80"/>
      <c r="I33" s="27">
        <v>6</v>
      </c>
      <c r="J33" s="79"/>
      <c r="K33" s="81"/>
      <c r="L33" s="88"/>
      <c r="M33" s="67">
        <f t="shared" si="7"/>
        <v>3.5368989304473923</v>
      </c>
      <c r="N33" s="51"/>
      <c r="O33" s="51"/>
      <c r="P33" s="51"/>
      <c r="Q33" s="82"/>
      <c r="R33" s="51"/>
      <c r="S33" s="20">
        <f t="shared" si="0"/>
        <v>4.8129999999999997</v>
      </c>
      <c r="T33" s="143">
        <f>1/((1/0.339^2)+(1/0.5^2))</f>
        <v>7.8730053902077435E-2</v>
      </c>
      <c r="U33" s="133">
        <f>(T33/0.339^2*M33+T33/0.5^2*S33)</f>
        <v>3.9387689544088937</v>
      </c>
      <c r="V33" s="162">
        <f>SQRT(T33)</f>
        <v>0.28058876296473001</v>
      </c>
      <c r="W33" s="141" t="s">
        <v>73</v>
      </c>
      <c r="X33" s="129">
        <v>0</v>
      </c>
      <c r="Y33" s="29">
        <v>-112.5</v>
      </c>
      <c r="Z33" s="29">
        <v>38</v>
      </c>
      <c r="AA33" s="27"/>
      <c r="AB33" s="27">
        <v>1959</v>
      </c>
      <c r="AC33" s="30">
        <v>2</v>
      </c>
      <c r="AD33" s="30">
        <v>27</v>
      </c>
      <c r="AE33" s="31">
        <v>22</v>
      </c>
      <c r="AF33" s="31">
        <v>19</v>
      </c>
      <c r="AG33" s="31">
        <v>52</v>
      </c>
      <c r="AI33" s="32"/>
      <c r="AJ33" s="27"/>
      <c r="AK33" s="27"/>
      <c r="AL33" s="27"/>
      <c r="AM33" s="27"/>
      <c r="AN33" s="31">
        <v>32</v>
      </c>
      <c r="AO33" s="27">
        <v>6</v>
      </c>
      <c r="AP33" s="27"/>
      <c r="AQ33" s="27"/>
      <c r="AR33" s="27">
        <v>6</v>
      </c>
      <c r="AS33" s="27" t="s">
        <v>32</v>
      </c>
      <c r="AT33" s="33">
        <v>4000</v>
      </c>
      <c r="AU33" s="27" t="s">
        <v>32</v>
      </c>
      <c r="AV33" s="27"/>
    </row>
    <row r="34" spans="1:50" ht="81" customHeight="1" x14ac:dyDescent="0.25">
      <c r="A34" s="39">
        <v>101</v>
      </c>
      <c r="B34" s="28">
        <v>5.6</v>
      </c>
      <c r="C34" s="20">
        <v>0.2</v>
      </c>
      <c r="D34" s="55">
        <f t="shared" si="2"/>
        <v>9.9522777167055594</v>
      </c>
      <c r="I34" s="4">
        <v>6</v>
      </c>
      <c r="K34" s="81">
        <f>B34</f>
        <v>5.6</v>
      </c>
      <c r="L34" s="88">
        <f>5.5</f>
        <v>5.5</v>
      </c>
      <c r="M34" s="67">
        <f t="shared" si="7"/>
        <v>4.3475659036256484</v>
      </c>
      <c r="Q34" s="67"/>
      <c r="S34" s="20">
        <f t="shared" si="0"/>
        <v>4.8129999999999997</v>
      </c>
      <c r="T34" s="145">
        <f>1/((1/0.2^2)+(1/0.2^2))</f>
        <v>2.0000000000000004E-2</v>
      </c>
      <c r="U34" s="134">
        <f>(T34/C34^2*K34+T34/0.2^2*L34)</f>
        <v>5.55</v>
      </c>
      <c r="V34" s="163">
        <f>SQRT(T34)</f>
        <v>0.14142135623730953</v>
      </c>
      <c r="W34" s="141" t="s">
        <v>109</v>
      </c>
      <c r="X34" s="84">
        <v>5.6</v>
      </c>
      <c r="Y34" s="1">
        <v>-112.37</v>
      </c>
      <c r="Z34" s="1">
        <v>36.799999999999997</v>
      </c>
      <c r="AA34" s="4"/>
      <c r="AB34" s="4">
        <v>1959</v>
      </c>
      <c r="AC34" s="5">
        <v>7</v>
      </c>
      <c r="AD34" s="5">
        <v>21</v>
      </c>
      <c r="AE34">
        <v>17</v>
      </c>
      <c r="AF34">
        <v>39</v>
      </c>
      <c r="AG34">
        <v>29</v>
      </c>
      <c r="AI34" s="3"/>
      <c r="AJ34" s="4" t="s">
        <v>6</v>
      </c>
      <c r="AK34" s="4"/>
      <c r="AL34" s="4"/>
      <c r="AM34" s="4"/>
      <c r="AN34">
        <v>265</v>
      </c>
      <c r="AO34" s="4">
        <v>6</v>
      </c>
      <c r="AP34" s="4"/>
      <c r="AQ34" s="4"/>
      <c r="AR34" s="4">
        <v>6</v>
      </c>
      <c r="AS34" s="4" t="s">
        <v>32</v>
      </c>
      <c r="AT34" s="17">
        <v>21000</v>
      </c>
      <c r="AU34" s="4" t="s">
        <v>32</v>
      </c>
      <c r="AV34" s="4"/>
      <c r="AW34" s="83" t="s">
        <v>82</v>
      </c>
    </row>
    <row r="35" spans="1:50" x14ac:dyDescent="0.25">
      <c r="A35" s="86">
        <v>101</v>
      </c>
      <c r="B35" s="2"/>
      <c r="D35" s="55">
        <f t="shared" si="2"/>
        <v>7.6009024595420822</v>
      </c>
      <c r="I35" s="4">
        <v>6</v>
      </c>
      <c r="K35" s="53"/>
      <c r="L35" s="88"/>
      <c r="M35" s="67">
        <f t="shared" si="7"/>
        <v>3.2214565600349574</v>
      </c>
      <c r="Q35" s="67"/>
      <c r="S35" s="20">
        <f t="shared" si="0"/>
        <v>4.8129999999999997</v>
      </c>
      <c r="T35" s="143">
        <f>1/((1/0.339^2)+(1/0.5^2))</f>
        <v>7.8730053902077435E-2</v>
      </c>
      <c r="U35" s="133">
        <f>(T35/0.339^2*M35+T35/0.5^2*S35)</f>
        <v>3.722665763298739</v>
      </c>
      <c r="V35" s="162">
        <f>SQRT(T35)</f>
        <v>0.28058876296473001</v>
      </c>
      <c r="W35" s="141" t="s">
        <v>73</v>
      </c>
      <c r="X35" s="84"/>
      <c r="Y35" s="1">
        <v>-111.5</v>
      </c>
      <c r="Z35" s="1">
        <v>42.4</v>
      </c>
      <c r="AA35" s="4">
        <v>49</v>
      </c>
      <c r="AB35" s="4">
        <v>1960</v>
      </c>
      <c r="AC35" s="5">
        <v>8</v>
      </c>
      <c r="AD35" s="5">
        <v>7</v>
      </c>
      <c r="AE35">
        <v>16</v>
      </c>
      <c r="AF35">
        <v>27</v>
      </c>
      <c r="AG35">
        <v>16.2</v>
      </c>
      <c r="AI35" s="3"/>
      <c r="AJ35" s="4"/>
      <c r="AK35" s="4"/>
      <c r="AL35" s="4"/>
      <c r="AM35" s="4"/>
      <c r="AN35">
        <v>266</v>
      </c>
      <c r="AO35" s="4">
        <v>6</v>
      </c>
      <c r="AP35" s="4"/>
      <c r="AQ35" s="4"/>
      <c r="AR35" s="4">
        <v>6</v>
      </c>
      <c r="AS35" s="4" t="s">
        <v>32</v>
      </c>
      <c r="AT35" s="17">
        <v>2000</v>
      </c>
      <c r="AU35" s="4" t="s">
        <v>32</v>
      </c>
      <c r="AV35" s="4"/>
    </row>
    <row r="36" spans="1:50" x14ac:dyDescent="0.25">
      <c r="A36" s="86">
        <v>101</v>
      </c>
      <c r="B36" s="2"/>
      <c r="D36" s="55">
        <f t="shared" si="2"/>
        <v>8.5171931914162382</v>
      </c>
      <c r="I36" s="4">
        <v>6</v>
      </c>
      <c r="K36" s="53"/>
      <c r="L36" s="88"/>
      <c r="M36" s="67">
        <f t="shared" si="7"/>
        <v>3.6407011916157206</v>
      </c>
      <c r="Q36" s="67"/>
      <c r="S36" s="20">
        <f t="shared" si="0"/>
        <v>4.8129999999999997</v>
      </c>
      <c r="T36" s="143">
        <f>1/((1/0.339^2)+(1/0.5^2))</f>
        <v>7.8730053902077435E-2</v>
      </c>
      <c r="U36" s="133">
        <f>(T36/0.339^2*M36+T36/0.5^2*S36)</f>
        <v>4.0098817851094619</v>
      </c>
      <c r="V36" s="162">
        <f>SQRT(T36)</f>
        <v>0.28058876296473001</v>
      </c>
      <c r="W36" s="141" t="s">
        <v>73</v>
      </c>
      <c r="X36" s="84"/>
      <c r="Y36" s="1">
        <v>-111.65</v>
      </c>
      <c r="Z36" s="1">
        <v>39.33</v>
      </c>
      <c r="AA36" s="4"/>
      <c r="AB36" s="4">
        <v>1961</v>
      </c>
      <c r="AC36" s="5">
        <v>4</v>
      </c>
      <c r="AD36" s="5">
        <v>16</v>
      </c>
      <c r="AE36">
        <v>5</v>
      </c>
      <c r="AF36">
        <v>2</v>
      </c>
      <c r="AG36">
        <v>39.299999999999997</v>
      </c>
      <c r="AI36" s="3"/>
      <c r="AJ36" s="4"/>
      <c r="AK36" s="4"/>
      <c r="AL36" s="4"/>
      <c r="AM36" s="4"/>
      <c r="AN36">
        <v>234</v>
      </c>
      <c r="AO36" s="4">
        <v>6</v>
      </c>
      <c r="AP36" s="4"/>
      <c r="AQ36" s="4"/>
      <c r="AR36" s="4">
        <v>6</v>
      </c>
      <c r="AS36" s="4" t="s">
        <v>32</v>
      </c>
      <c r="AT36" s="17">
        <v>5000</v>
      </c>
      <c r="AU36" s="4" t="s">
        <v>32</v>
      </c>
      <c r="AV36" s="4"/>
    </row>
    <row r="37" spans="1:50" x14ac:dyDescent="0.25">
      <c r="A37" s="77">
        <v>101</v>
      </c>
      <c r="B37" s="76">
        <v>4.5</v>
      </c>
      <c r="C37" s="20">
        <v>0.2</v>
      </c>
      <c r="D37" s="55">
        <f t="shared" si="2"/>
        <v>7.6009024595420822</v>
      </c>
      <c r="I37" s="4">
        <v>5</v>
      </c>
      <c r="K37" s="73">
        <f>B37</f>
        <v>4.5</v>
      </c>
      <c r="L37" s="88"/>
      <c r="M37" s="67">
        <f t="shared" si="7"/>
        <v>3.2214565600349574</v>
      </c>
      <c r="Q37" s="67"/>
      <c r="S37" s="20">
        <f t="shared" si="0"/>
        <v>4.0490000000000004</v>
      </c>
      <c r="T37" s="140"/>
      <c r="U37" s="88"/>
      <c r="V37" s="159"/>
      <c r="W37" s="144" t="s">
        <v>78</v>
      </c>
      <c r="X37" s="84">
        <v>4.5</v>
      </c>
      <c r="Y37" s="1">
        <v>-112.4</v>
      </c>
      <c r="Z37" s="1">
        <v>36.9</v>
      </c>
      <c r="AA37" s="4">
        <v>26</v>
      </c>
      <c r="AB37" s="4">
        <v>1962</v>
      </c>
      <c r="AC37" s="5">
        <v>2</v>
      </c>
      <c r="AD37" s="5">
        <v>15</v>
      </c>
      <c r="AE37">
        <v>7</v>
      </c>
      <c r="AF37">
        <v>12</v>
      </c>
      <c r="AG37">
        <v>42.9</v>
      </c>
      <c r="AI37" s="3"/>
      <c r="AJ37" s="4" t="s">
        <v>5</v>
      </c>
      <c r="AK37" s="4"/>
      <c r="AL37" s="4"/>
      <c r="AM37" s="4"/>
      <c r="AN37">
        <v>266</v>
      </c>
      <c r="AO37" s="4">
        <v>5</v>
      </c>
      <c r="AP37" s="4"/>
      <c r="AQ37" s="4"/>
      <c r="AR37" s="4">
        <v>5</v>
      </c>
      <c r="AS37" s="4" t="s">
        <v>32</v>
      </c>
      <c r="AT37" s="17">
        <v>2000</v>
      </c>
      <c r="AU37" s="4" t="s">
        <v>32</v>
      </c>
      <c r="AV37" s="4"/>
    </row>
    <row r="38" spans="1:50" x14ac:dyDescent="0.25">
      <c r="B38"/>
      <c r="I38"/>
      <c r="K38" s="53"/>
      <c r="L38" s="88"/>
      <c r="M38" s="67"/>
      <c r="Q38" s="67"/>
      <c r="T38" s="140"/>
      <c r="U38" s="88"/>
      <c r="V38" s="159"/>
      <c r="W38" s="146"/>
      <c r="X38" s="132"/>
    </row>
    <row r="39" spans="1:50" x14ac:dyDescent="0.25">
      <c r="A39" s="70" t="s">
        <v>66</v>
      </c>
      <c r="B39"/>
      <c r="C39" s="50"/>
      <c r="D39" s="54"/>
      <c r="E39" s="57"/>
      <c r="F39" s="57"/>
      <c r="G39" s="57"/>
      <c r="H39" s="57"/>
      <c r="I39"/>
      <c r="J39" s="54"/>
      <c r="K39" s="66"/>
      <c r="L39" s="90"/>
      <c r="M39" s="68"/>
      <c r="N39" s="50"/>
      <c r="O39" s="50"/>
      <c r="P39" s="50"/>
      <c r="Q39" s="68"/>
      <c r="R39" s="50"/>
      <c r="S39" s="50"/>
      <c r="T39" s="138"/>
      <c r="U39" s="90"/>
      <c r="V39" s="156"/>
      <c r="W39" s="139"/>
      <c r="X39" s="132"/>
    </row>
    <row r="40" spans="1:50" ht="24.75" x14ac:dyDescent="0.25">
      <c r="A40" s="125" t="s">
        <v>1</v>
      </c>
      <c r="B40" s="2"/>
      <c r="D40" s="55">
        <f t="shared" ref="D40:D42" si="8">LN(AT40)</f>
        <v>11.863582336583399</v>
      </c>
      <c r="I40" s="4">
        <v>7</v>
      </c>
      <c r="K40" s="53"/>
      <c r="L40" s="88"/>
      <c r="M40" s="67">
        <f>0.415*D40+0.0015*SQRT(AT40)</f>
        <v>5.4886299801246139</v>
      </c>
      <c r="Q40" s="67"/>
      <c r="S40" s="20">
        <f>0.764*I40+0.229</f>
        <v>5.577</v>
      </c>
      <c r="T40" s="140"/>
      <c r="U40" s="88">
        <f>$S$40</f>
        <v>5.577</v>
      </c>
      <c r="V40" s="159">
        <v>0.5</v>
      </c>
      <c r="W40" s="141" t="s">
        <v>76</v>
      </c>
      <c r="X40" s="84">
        <v>5.7</v>
      </c>
      <c r="Y40" s="1">
        <v>-111.5</v>
      </c>
      <c r="Z40" s="1">
        <v>36.5</v>
      </c>
      <c r="AA40" s="4"/>
      <c r="AB40" s="4">
        <v>1912</v>
      </c>
      <c r="AC40" s="5">
        <v>8</v>
      </c>
      <c r="AD40" s="5">
        <v>18</v>
      </c>
      <c r="AE40">
        <v>21</v>
      </c>
      <c r="AF40">
        <v>12</v>
      </c>
      <c r="AG40">
        <v>0</v>
      </c>
      <c r="AI40" s="3"/>
      <c r="AJ40" s="4"/>
      <c r="AK40" s="4"/>
      <c r="AL40" s="4"/>
      <c r="AM40" s="4"/>
      <c r="AO40" s="4"/>
      <c r="AP40" s="4"/>
      <c r="AQ40" s="4">
        <v>7</v>
      </c>
      <c r="AR40" s="4">
        <v>7</v>
      </c>
      <c r="AS40" s="4" t="s">
        <v>32</v>
      </c>
      <c r="AT40" s="17">
        <v>142000</v>
      </c>
      <c r="AU40" s="4" t="s">
        <v>32</v>
      </c>
      <c r="AV40" s="4" t="s">
        <v>2</v>
      </c>
    </row>
    <row r="41" spans="1:50" ht="26.25" x14ac:dyDescent="0.25">
      <c r="A41" s="77" t="s">
        <v>0</v>
      </c>
      <c r="B41" s="2">
        <v>5.3</v>
      </c>
      <c r="C41" s="20">
        <v>0.37</v>
      </c>
      <c r="D41" s="55">
        <f t="shared" si="8"/>
        <v>9.9522777167055594</v>
      </c>
      <c r="I41" s="4">
        <v>5</v>
      </c>
      <c r="K41" s="73">
        <f>B41</f>
        <v>5.3</v>
      </c>
      <c r="L41" s="88"/>
      <c r="M41" s="67">
        <f>0.415*D41+0.0015*SQRT(AT41)</f>
        <v>4.3475659036256484</v>
      </c>
      <c r="Q41" s="67"/>
      <c r="S41" s="20">
        <f>0.764*I41+0.229</f>
        <v>4.0490000000000004</v>
      </c>
      <c r="T41" s="140"/>
      <c r="U41" s="88"/>
      <c r="V41" s="159"/>
      <c r="W41" s="144" t="s">
        <v>78</v>
      </c>
      <c r="X41" s="84">
        <v>5.3</v>
      </c>
      <c r="Y41" s="1">
        <v>-111.3</v>
      </c>
      <c r="Z41" s="1">
        <v>43</v>
      </c>
      <c r="AA41" s="4"/>
      <c r="AB41" s="4">
        <v>1917</v>
      </c>
      <c r="AC41" s="5">
        <v>12</v>
      </c>
      <c r="AD41" s="5">
        <v>12</v>
      </c>
      <c r="AE41">
        <v>11</v>
      </c>
      <c r="AF41">
        <v>50</v>
      </c>
      <c r="AG41">
        <v>0</v>
      </c>
      <c r="AI41" s="3"/>
      <c r="AJ41" s="4" t="s">
        <v>4</v>
      </c>
      <c r="AK41" s="4">
        <v>0</v>
      </c>
      <c r="AL41" s="4">
        <v>0</v>
      </c>
      <c r="AM41" s="4">
        <v>0</v>
      </c>
      <c r="AN41">
        <v>457</v>
      </c>
      <c r="AO41" s="4">
        <v>5</v>
      </c>
      <c r="AP41" s="4"/>
      <c r="AQ41" s="4"/>
      <c r="AR41" s="4">
        <v>5</v>
      </c>
      <c r="AS41" s="4" t="s">
        <v>32</v>
      </c>
      <c r="AT41" s="17">
        <v>21000</v>
      </c>
      <c r="AU41" s="4" t="s">
        <v>32</v>
      </c>
      <c r="AV41" s="4"/>
      <c r="AW41" s="26" t="s">
        <v>48</v>
      </c>
    </row>
    <row r="42" spans="1:50" ht="15.75" thickBot="1" x14ac:dyDescent="0.3">
      <c r="A42" s="77">
        <v>101</v>
      </c>
      <c r="B42" s="2">
        <v>5</v>
      </c>
      <c r="C42" s="20">
        <v>0.2</v>
      </c>
      <c r="D42" s="55">
        <f t="shared" si="8"/>
        <v>9.7981270368783022</v>
      </c>
      <c r="I42" s="4">
        <v>6</v>
      </c>
      <c r="K42" s="73">
        <f>B42</f>
        <v>5</v>
      </c>
      <c r="L42" s="88"/>
      <c r="M42" s="67">
        <f>0.415*D42+0.0015*SQRT(AT42)</f>
        <v>4.2674688382794761</v>
      </c>
      <c r="Q42" s="67"/>
      <c r="S42" s="20">
        <f>0.764*I42+0.229</f>
        <v>4.8129999999999997</v>
      </c>
      <c r="T42" s="147"/>
      <c r="U42" s="148"/>
      <c r="V42" s="160"/>
      <c r="W42" s="149" t="s">
        <v>78</v>
      </c>
      <c r="X42" s="84">
        <v>5</v>
      </c>
      <c r="Y42" s="1">
        <v>-114.81699999999999</v>
      </c>
      <c r="Z42" s="1">
        <v>35.966999999999999</v>
      </c>
      <c r="AA42" s="4"/>
      <c r="AB42" s="4">
        <v>1939</v>
      </c>
      <c r="AC42" s="5">
        <v>5</v>
      </c>
      <c r="AD42" s="5">
        <v>4</v>
      </c>
      <c r="AE42">
        <v>20</v>
      </c>
      <c r="AF42">
        <v>44</v>
      </c>
      <c r="AG42">
        <v>46.8</v>
      </c>
      <c r="AI42" s="3"/>
      <c r="AJ42" s="4" t="s">
        <v>29</v>
      </c>
      <c r="AK42" s="4"/>
      <c r="AL42" s="4"/>
      <c r="AM42" s="4"/>
      <c r="AO42" s="4">
        <v>6</v>
      </c>
      <c r="AP42" s="4"/>
      <c r="AQ42" s="4"/>
      <c r="AR42" s="4">
        <v>6</v>
      </c>
      <c r="AS42" s="4" t="s">
        <v>32</v>
      </c>
      <c r="AT42" s="17">
        <v>18000</v>
      </c>
      <c r="AU42" s="4" t="s">
        <v>32</v>
      </c>
      <c r="AV42" s="4"/>
      <c r="AX42" s="25"/>
    </row>
    <row r="43" spans="1:50" x14ac:dyDescent="0.25">
      <c r="A43" s="16"/>
      <c r="B43" s="2"/>
      <c r="I43" s="4"/>
      <c r="K43" s="88"/>
      <c r="L43" s="88"/>
      <c r="M43" s="69"/>
      <c r="Q43" s="69"/>
      <c r="X43" s="84"/>
      <c r="Y43" s="1"/>
      <c r="Z43" s="1"/>
      <c r="AA43" s="4"/>
      <c r="AB43" s="4"/>
      <c r="AC43" s="5"/>
      <c r="AD43" s="5"/>
      <c r="AI43" s="3"/>
      <c r="AJ43" s="4"/>
      <c r="AK43" s="4"/>
      <c r="AL43" s="4"/>
      <c r="AM43" s="4"/>
      <c r="AO43" s="4"/>
      <c r="AP43" s="4"/>
      <c r="AQ43" s="4"/>
      <c r="AR43" s="4"/>
      <c r="AS43" s="4"/>
      <c r="AT43" s="17"/>
      <c r="AU43" s="4"/>
      <c r="AV43" s="4"/>
      <c r="AX43" s="25"/>
    </row>
    <row r="45" spans="1:50" x14ac:dyDescent="0.25">
      <c r="A45" s="64" t="s">
        <v>123</v>
      </c>
      <c r="D45" s="71"/>
      <c r="H45" s="72"/>
    </row>
    <row r="47" spans="1:50" x14ac:dyDescent="0.25">
      <c r="B47" s="16"/>
    </row>
    <row r="48" spans="1:50" x14ac:dyDescent="0.25">
      <c r="B48" s="16"/>
    </row>
    <row r="49" spans="2:2" x14ac:dyDescent="0.25">
      <c r="B49" s="16"/>
    </row>
    <row r="50" spans="2:2" x14ac:dyDescent="0.25">
      <c r="B50" s="16"/>
    </row>
    <row r="51" spans="2:2" x14ac:dyDescent="0.25">
      <c r="B51" s="16"/>
    </row>
    <row r="52" spans="2:2" x14ac:dyDescent="0.25">
      <c r="B52" s="16"/>
    </row>
    <row r="53" spans="2:2" x14ac:dyDescent="0.25">
      <c r="B53" s="16"/>
    </row>
    <row r="54" spans="2:2" x14ac:dyDescent="0.25">
      <c r="B54" s="16"/>
    </row>
    <row r="55" spans="2:2" x14ac:dyDescent="0.25">
      <c r="B55" s="16"/>
    </row>
    <row r="56" spans="2:2" x14ac:dyDescent="0.25">
      <c r="B56" s="16"/>
    </row>
  </sheetData>
  <sortState ref="B2:BA25">
    <sortCondition ref="AC2:AC25"/>
    <sortCondition ref="AD2:AD25"/>
    <sortCondition ref="AE2:AE25"/>
    <sortCondition ref="AF2:AF25"/>
    <sortCondition ref="AG2:AG25"/>
    <sortCondition ref="AH2:AH25"/>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96"/>
  <sheetViews>
    <sheetView workbookViewId="0">
      <pane ySplit="1" topLeftCell="A2" activePane="bottomLeft" state="frozen"/>
      <selection pane="bottomLeft" activeCell="C7" sqref="C7"/>
    </sheetView>
  </sheetViews>
  <sheetFormatPr defaultColWidth="8.85546875" defaultRowHeight="15" x14ac:dyDescent="0.25"/>
  <cols>
    <col min="2" max="2" width="13.85546875" style="4" customWidth="1"/>
    <col min="3" max="3" width="11.42578125" style="20" customWidth="1"/>
    <col min="4" max="4" width="11.140625" style="55" customWidth="1"/>
    <col min="5" max="5" width="11.42578125" style="58" customWidth="1"/>
    <col min="6" max="6" width="11" style="58" customWidth="1"/>
    <col min="7" max="7" width="10.85546875" style="58" customWidth="1"/>
    <col min="8" max="8" width="11.42578125" style="58" customWidth="1"/>
    <col min="9" max="10" width="8.42578125" style="55" customWidth="1"/>
    <col min="11" max="13" width="10.7109375" style="20" customWidth="1"/>
    <col min="14" max="14" width="10" style="20" customWidth="1"/>
    <col min="15" max="19" width="8.42578125" style="20" customWidth="1"/>
    <col min="20" max="20" width="7.42578125" style="20" customWidth="1"/>
    <col min="21" max="21" width="7.28515625" style="20" customWidth="1"/>
    <col min="22" max="22" width="13.85546875" style="55" customWidth="1"/>
    <col min="23" max="23" width="9.85546875" style="20" customWidth="1"/>
    <col min="24" max="24" width="9.85546875" style="55" customWidth="1"/>
    <col min="25" max="25" width="65.42578125" style="20" customWidth="1"/>
    <col min="27" max="37" width="8.85546875" style="31"/>
    <col min="38" max="38" width="13.42578125" style="31" customWidth="1"/>
    <col min="39" max="40" width="8.85546875" style="31"/>
    <col min="41" max="41" width="12.28515625" style="31" customWidth="1"/>
    <col min="42" max="42" width="9.42578125" style="31" customWidth="1"/>
    <col min="43" max="43" width="9" style="31" customWidth="1"/>
    <col min="44" max="51" width="8.85546875" style="31"/>
    <col min="52" max="52" width="9.28515625" style="31" bestFit="1" customWidth="1"/>
    <col min="53" max="53" width="8.85546875" style="31"/>
    <col min="54" max="54" width="10.85546875" style="27" customWidth="1"/>
    <col min="55" max="55" width="53" style="31" customWidth="1"/>
    <col min="56" max="56" width="11.140625" customWidth="1"/>
  </cols>
  <sheetData>
    <row r="1" spans="1:56" s="6" customFormat="1" ht="75.75" thickBot="1" x14ac:dyDescent="0.3">
      <c r="A1" s="19" t="s">
        <v>7</v>
      </c>
      <c r="B1" s="8" t="s">
        <v>112</v>
      </c>
      <c r="C1" s="49" t="s">
        <v>16</v>
      </c>
      <c r="D1" s="7" t="s">
        <v>53</v>
      </c>
      <c r="E1" s="56" t="s">
        <v>56</v>
      </c>
      <c r="F1" s="56" t="s">
        <v>57</v>
      </c>
      <c r="G1" s="56" t="s">
        <v>58</v>
      </c>
      <c r="H1" s="56" t="s">
        <v>59</v>
      </c>
      <c r="I1" s="7" t="s">
        <v>54</v>
      </c>
      <c r="J1" s="7" t="s">
        <v>55</v>
      </c>
      <c r="K1" s="65" t="s">
        <v>174</v>
      </c>
      <c r="L1" s="65" t="s">
        <v>175</v>
      </c>
      <c r="M1" s="65" t="s">
        <v>176</v>
      </c>
      <c r="N1" s="63" t="s">
        <v>110</v>
      </c>
      <c r="O1" s="65" t="s">
        <v>99</v>
      </c>
      <c r="P1" s="63" t="s">
        <v>100</v>
      </c>
      <c r="Q1" s="63" t="s">
        <v>101</v>
      </c>
      <c r="R1" s="63" t="s">
        <v>102</v>
      </c>
      <c r="S1" s="65" t="s">
        <v>103</v>
      </c>
      <c r="T1" s="63" t="s">
        <v>104</v>
      </c>
      <c r="U1" s="63" t="s">
        <v>105</v>
      </c>
      <c r="V1" s="135" t="s">
        <v>62</v>
      </c>
      <c r="W1" s="136" t="s">
        <v>106</v>
      </c>
      <c r="X1" s="155" t="s">
        <v>16</v>
      </c>
      <c r="Y1" s="137" t="s">
        <v>61</v>
      </c>
      <c r="Z1" s="127" t="s">
        <v>8</v>
      </c>
      <c r="AA1" s="171" t="s">
        <v>163</v>
      </c>
      <c r="AB1" s="91" t="s">
        <v>164</v>
      </c>
      <c r="AC1" s="92" t="s">
        <v>9</v>
      </c>
      <c r="AD1" s="92" t="s">
        <v>10</v>
      </c>
      <c r="AE1" s="93" t="s">
        <v>11</v>
      </c>
      <c r="AF1" s="93" t="s">
        <v>12</v>
      </c>
      <c r="AG1" s="93" t="s">
        <v>13</v>
      </c>
      <c r="AH1" s="93" t="s">
        <v>14</v>
      </c>
      <c r="AI1" s="93" t="s">
        <v>15</v>
      </c>
      <c r="AJ1" s="93" t="s">
        <v>16</v>
      </c>
      <c r="AK1" s="94" t="s">
        <v>17</v>
      </c>
      <c r="AL1" s="92" t="s">
        <v>18</v>
      </c>
      <c r="AM1" s="92" t="s">
        <v>19</v>
      </c>
      <c r="AN1" s="92" t="s">
        <v>20</v>
      </c>
      <c r="AO1" s="92" t="s">
        <v>21</v>
      </c>
      <c r="AP1" s="95" t="s">
        <v>83</v>
      </c>
      <c r="AQ1" s="96" t="s">
        <v>84</v>
      </c>
      <c r="AR1" s="93" t="s">
        <v>22</v>
      </c>
      <c r="AS1" s="96" t="s">
        <v>23</v>
      </c>
      <c r="AT1" s="96" t="s">
        <v>85</v>
      </c>
      <c r="AU1" s="92" t="s">
        <v>86</v>
      </c>
      <c r="AV1" s="92" t="s">
        <v>87</v>
      </c>
      <c r="AW1" s="96" t="s">
        <v>25</v>
      </c>
      <c r="AX1" s="96" t="s">
        <v>27</v>
      </c>
      <c r="AY1" s="96" t="s">
        <v>28</v>
      </c>
      <c r="AZ1" s="97" t="s">
        <v>30</v>
      </c>
      <c r="BA1" s="96" t="s">
        <v>31</v>
      </c>
      <c r="BB1" s="92" t="s">
        <v>88</v>
      </c>
      <c r="BC1" s="96" t="s">
        <v>42</v>
      </c>
    </row>
    <row r="2" spans="1:56" x14ac:dyDescent="0.25">
      <c r="A2" s="172" t="s">
        <v>94</v>
      </c>
      <c r="B2" s="173"/>
      <c r="C2" s="174"/>
      <c r="D2" s="175"/>
      <c r="E2" s="176"/>
      <c r="F2" s="176"/>
      <c r="G2" s="176"/>
      <c r="H2" s="177"/>
      <c r="K2" s="66"/>
      <c r="L2" s="51"/>
      <c r="N2" s="68"/>
      <c r="O2" s="50"/>
      <c r="R2" s="50"/>
      <c r="S2" s="204"/>
      <c r="T2" s="55"/>
      <c r="V2" s="138"/>
      <c r="X2" s="1"/>
      <c r="Y2"/>
      <c r="Z2" s="138"/>
      <c r="AA2" s="170"/>
      <c r="AB2"/>
      <c r="AC2"/>
      <c r="AD2"/>
      <c r="AE2"/>
      <c r="AF2"/>
      <c r="AG2"/>
      <c r="AH2"/>
      <c r="AI2"/>
      <c r="AJ2"/>
      <c r="AK2"/>
      <c r="AL2"/>
      <c r="AM2"/>
      <c r="AN2"/>
      <c r="AO2"/>
      <c r="AP2"/>
      <c r="AQ2"/>
      <c r="AR2"/>
      <c r="AS2"/>
      <c r="AT2"/>
      <c r="AU2"/>
      <c r="AV2"/>
      <c r="AW2"/>
      <c r="AX2"/>
      <c r="AY2"/>
      <c r="AZ2"/>
      <c r="BA2"/>
      <c r="BB2"/>
      <c r="BC2"/>
    </row>
    <row r="3" spans="1:56" ht="15.75" thickBot="1" x14ac:dyDescent="0.3">
      <c r="A3" s="78"/>
      <c r="B3" s="180" t="s">
        <v>96</v>
      </c>
      <c r="C3" s="181"/>
      <c r="D3" s="182"/>
      <c r="E3" s="183"/>
      <c r="F3" s="183"/>
      <c r="G3" s="183"/>
      <c r="H3" s="184"/>
      <c r="K3" s="66"/>
      <c r="L3" s="51"/>
      <c r="N3" s="68"/>
      <c r="O3" s="50"/>
      <c r="R3" s="50"/>
      <c r="S3" s="66"/>
      <c r="T3" s="55"/>
      <c r="V3" s="138"/>
      <c r="X3" s="1"/>
      <c r="Y3"/>
      <c r="Z3" s="138"/>
      <c r="AA3" s="170"/>
      <c r="AB3"/>
      <c r="AC3"/>
      <c r="AD3"/>
      <c r="AE3"/>
      <c r="AF3"/>
      <c r="AG3"/>
      <c r="AH3"/>
      <c r="AI3"/>
      <c r="AJ3"/>
      <c r="AK3"/>
      <c r="AL3"/>
      <c r="AM3"/>
      <c r="AN3"/>
      <c r="AO3"/>
      <c r="AP3"/>
      <c r="AQ3"/>
      <c r="AR3"/>
      <c r="AS3"/>
      <c r="AT3"/>
      <c r="AU3"/>
      <c r="AV3"/>
      <c r="AW3"/>
      <c r="AX3"/>
      <c r="AY3"/>
      <c r="AZ3"/>
      <c r="BA3"/>
      <c r="BB3"/>
      <c r="BC3"/>
    </row>
    <row r="4" spans="1:56" x14ac:dyDescent="0.25">
      <c r="A4" s="31"/>
      <c r="B4" s="122"/>
      <c r="K4" s="66"/>
      <c r="L4" s="51"/>
      <c r="N4" s="68"/>
      <c r="O4" s="50"/>
      <c r="R4" s="50"/>
      <c r="S4" s="66"/>
      <c r="T4" s="55"/>
      <c r="V4" s="138"/>
      <c r="X4" s="1"/>
      <c r="Y4"/>
      <c r="Z4" s="138"/>
      <c r="AA4" s="170"/>
      <c r="AB4"/>
      <c r="AC4"/>
      <c r="AD4"/>
      <c r="AE4"/>
      <c r="AF4"/>
      <c r="AG4"/>
      <c r="AH4"/>
      <c r="AI4"/>
      <c r="AJ4"/>
      <c r="AK4"/>
      <c r="AL4"/>
      <c r="AM4"/>
      <c r="AN4"/>
      <c r="AO4"/>
      <c r="AP4"/>
      <c r="AQ4"/>
      <c r="AR4"/>
      <c r="AS4"/>
      <c r="AT4"/>
      <c r="AU4"/>
      <c r="AV4"/>
      <c r="AW4"/>
      <c r="AX4"/>
      <c r="AY4"/>
      <c r="AZ4"/>
      <c r="BA4"/>
      <c r="BB4"/>
      <c r="BC4"/>
    </row>
    <row r="5" spans="1:56" s="6" customFormat="1" x14ac:dyDescent="0.25">
      <c r="A5" s="70" t="s">
        <v>89</v>
      </c>
      <c r="B5" s="48"/>
      <c r="C5" s="50"/>
      <c r="D5" s="54"/>
      <c r="E5" s="57"/>
      <c r="F5" s="57"/>
      <c r="G5" s="57"/>
      <c r="H5" s="57"/>
      <c r="I5" s="54"/>
      <c r="J5" s="54"/>
      <c r="K5" s="66"/>
      <c r="L5" s="50"/>
      <c r="M5" s="50"/>
      <c r="N5" s="68"/>
      <c r="O5" s="50"/>
      <c r="P5" s="50"/>
      <c r="Q5" s="50"/>
      <c r="R5" s="50"/>
      <c r="S5" s="66"/>
      <c r="T5" s="50"/>
      <c r="U5" s="50"/>
      <c r="V5" s="138"/>
      <c r="W5" s="90"/>
      <c r="X5" s="156"/>
      <c r="Y5" s="139"/>
      <c r="Z5" s="128"/>
      <c r="AA5" s="170"/>
      <c r="AB5" s="98"/>
      <c r="AC5" s="99"/>
      <c r="AD5" s="99"/>
      <c r="AE5" s="100"/>
      <c r="AF5" s="100"/>
      <c r="AG5" s="100"/>
      <c r="AH5" s="100"/>
      <c r="AI5" s="100"/>
      <c r="AJ5" s="100"/>
      <c r="AK5" s="101"/>
      <c r="AL5" s="99"/>
      <c r="AM5" s="99"/>
      <c r="AN5" s="99"/>
      <c r="AO5" s="99"/>
      <c r="AP5" s="99"/>
      <c r="AQ5" s="99"/>
      <c r="AR5" s="100"/>
      <c r="AS5" s="102"/>
      <c r="AT5" s="102"/>
      <c r="AU5" s="102"/>
      <c r="AV5" s="102"/>
      <c r="AW5" s="102"/>
      <c r="AX5" s="102"/>
      <c r="AY5" s="102"/>
      <c r="AZ5" s="103"/>
      <c r="BA5" s="102"/>
      <c r="BB5" s="27"/>
      <c r="BC5" s="102"/>
    </row>
    <row r="6" spans="1:56" s="15" customFormat="1" ht="77.25" customHeight="1" x14ac:dyDescent="0.25">
      <c r="A6" s="126" t="s">
        <v>1</v>
      </c>
      <c r="B6" s="192" t="s">
        <v>177</v>
      </c>
      <c r="C6" s="104">
        <v>0.2</v>
      </c>
      <c r="D6" s="105">
        <f>LN(AZ6)</f>
        <v>10.645424897265505</v>
      </c>
      <c r="E6" s="106"/>
      <c r="F6" s="106">
        <v>5190</v>
      </c>
      <c r="G6" s="106">
        <v>2090</v>
      </c>
      <c r="H6" s="106"/>
      <c r="I6" s="105"/>
      <c r="J6" s="105"/>
      <c r="K6" s="107">
        <f>0.791*5+0.851</f>
        <v>4.806</v>
      </c>
      <c r="L6" s="104">
        <f>5</f>
        <v>5</v>
      </c>
      <c r="M6" s="104">
        <f>0.791*(1.697*5.1-3.557)+0.851</f>
        <v>4.8832807000000003</v>
      </c>
      <c r="N6" s="108">
        <f>0.415*LN(AZ6)+0.0015*SQRT(AZ6)</f>
        <v>4.725259855343972</v>
      </c>
      <c r="O6" s="104"/>
      <c r="P6" s="104">
        <f>1.445*LOG10(F6)-0.809</f>
        <v>4.5594168320910216</v>
      </c>
      <c r="Q6" s="104">
        <f>1.341*LOG10(G6)+0.535</f>
        <v>4.9873161696749237</v>
      </c>
      <c r="R6" s="104"/>
      <c r="S6" s="107">
        <f>AVERAGE(O6:R6)</f>
        <v>4.7733665008829727</v>
      </c>
      <c r="T6" s="104"/>
      <c r="U6" s="104">
        <f>0.764*AX6+0.229</f>
        <v>4.8129999999999997</v>
      </c>
      <c r="V6" s="150">
        <f>1/((1/0.267^2)+(1/0.2^2)+(1/0.339^2)+(1/0.35^2)+(1/0.5^2))</f>
        <v>1.6696635825729837E-2</v>
      </c>
      <c r="W6" s="134">
        <f>(V6/0.267^2*K6+V6/0.2^2*L6+V6/0.339^2*N6)+(V6/0.35^2*S6)+(V6/0.5^2*U6)</f>
        <v>4.8712677044191324</v>
      </c>
      <c r="X6" s="157">
        <f>SQRT(V6)</f>
        <v>0.12921546279656254</v>
      </c>
      <c r="Y6" s="202" t="s">
        <v>113</v>
      </c>
      <c r="Z6" s="190">
        <v>5.2</v>
      </c>
      <c r="AA6" s="191">
        <v>-112.089</v>
      </c>
      <c r="AB6" s="109">
        <v>40.715000000000003</v>
      </c>
      <c r="AC6" s="110">
        <v>7</v>
      </c>
      <c r="AD6" s="111">
        <v>1962</v>
      </c>
      <c r="AE6" s="112">
        <v>9</v>
      </c>
      <c r="AF6" s="112">
        <v>5</v>
      </c>
      <c r="AG6" s="112">
        <v>16</v>
      </c>
      <c r="AH6" s="112">
        <v>4</v>
      </c>
      <c r="AI6" s="112">
        <v>27.8</v>
      </c>
      <c r="AJ6" s="113"/>
      <c r="AK6" s="114"/>
      <c r="AL6" s="115">
        <v>5.0999999999999996</v>
      </c>
      <c r="AM6" s="112"/>
      <c r="AN6" s="112"/>
      <c r="AO6" s="112" t="s">
        <v>90</v>
      </c>
      <c r="AP6" s="115"/>
      <c r="AQ6" s="112"/>
      <c r="AR6" s="112"/>
      <c r="AS6" s="116"/>
      <c r="AT6" s="116"/>
      <c r="AU6" s="116"/>
      <c r="AV6" s="115">
        <v>5</v>
      </c>
      <c r="AW6" s="117" t="s">
        <v>91</v>
      </c>
      <c r="AX6" s="116">
        <v>6</v>
      </c>
      <c r="AY6" s="116" t="s">
        <v>32</v>
      </c>
      <c r="AZ6" s="118">
        <v>42000</v>
      </c>
      <c r="BA6" s="116" t="s">
        <v>32</v>
      </c>
      <c r="BB6" s="116"/>
      <c r="BC6" s="119" t="s">
        <v>92</v>
      </c>
    </row>
    <row r="7" spans="1:56" x14ac:dyDescent="0.25">
      <c r="A7" s="5"/>
      <c r="I7" s="4"/>
      <c r="K7" s="88"/>
      <c r="L7" s="88"/>
      <c r="M7" s="88"/>
      <c r="N7" s="69"/>
      <c r="R7" s="69"/>
      <c r="Z7" s="84"/>
      <c r="AA7" s="29"/>
      <c r="AB7" s="29"/>
      <c r="AC7" s="27"/>
      <c r="AD7" s="27"/>
      <c r="AE7" s="30"/>
      <c r="AF7" s="30"/>
      <c r="AK7" s="32"/>
      <c r="AL7" s="27"/>
      <c r="AM7" s="27"/>
      <c r="AN7" s="27"/>
      <c r="AO7" s="27"/>
      <c r="AP7" s="27"/>
      <c r="AQ7" s="27"/>
      <c r="AS7" s="27"/>
      <c r="AT7" s="27"/>
      <c r="AU7" s="27"/>
      <c r="AV7" s="27"/>
      <c r="AW7" s="27"/>
      <c r="AX7" s="27"/>
      <c r="AY7" s="27"/>
      <c r="AZ7" s="33"/>
      <c r="BA7" s="27"/>
      <c r="BD7" s="25"/>
    </row>
    <row r="8" spans="1:56" x14ac:dyDescent="0.25">
      <c r="BB8" s="31"/>
    </row>
    <row r="14" spans="1:56" x14ac:dyDescent="0.25">
      <c r="BB14" s="31"/>
    </row>
    <row r="18" spans="15:15" x14ac:dyDescent="0.25">
      <c r="O18" s="69"/>
    </row>
    <row r="55" spans="54:54" x14ac:dyDescent="0.25">
      <c r="BB55" s="120"/>
    </row>
    <row r="135" spans="54:54" x14ac:dyDescent="0.25">
      <c r="BB135" s="31"/>
    </row>
    <row r="137" spans="54:54" x14ac:dyDescent="0.25">
      <c r="BB137" s="31"/>
    </row>
    <row r="246" spans="54:54" x14ac:dyDescent="0.25">
      <c r="BB246" s="31"/>
    </row>
    <row r="292" spans="54:54" x14ac:dyDescent="0.25">
      <c r="BB292" s="31"/>
    </row>
    <row r="323" spans="54:54" x14ac:dyDescent="0.25">
      <c r="BB323" s="31"/>
    </row>
    <row r="514" spans="54:54" x14ac:dyDescent="0.25">
      <c r="BB514" s="31"/>
    </row>
    <row r="601" spans="54:54" x14ac:dyDescent="0.25">
      <c r="BB601" s="31"/>
    </row>
    <row r="639" spans="54:54" x14ac:dyDescent="0.25">
      <c r="BB639" s="31"/>
    </row>
    <row r="672" spans="54:54" x14ac:dyDescent="0.25">
      <c r="BB672" s="31"/>
    </row>
    <row r="696" spans="54:54" x14ac:dyDescent="0.25">
      <c r="BB696" s="31"/>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workbookViewId="0">
      <pane ySplit="1" topLeftCell="A2" activePane="bottomLeft" state="frozen"/>
      <selection pane="bottomLeft" activeCell="R22" sqref="R22"/>
    </sheetView>
  </sheetViews>
  <sheetFormatPr defaultColWidth="8.85546875" defaultRowHeight="15" x14ac:dyDescent="0.25"/>
  <cols>
    <col min="1" max="1" width="8.85546875" style="51"/>
    <col min="2" max="2" width="8.85546875" style="20"/>
    <col min="3" max="3" width="9.7109375" style="55" customWidth="1"/>
    <col min="4" max="4" width="8.28515625" style="55" customWidth="1"/>
    <col min="5" max="5" width="7" style="4" customWidth="1"/>
    <col min="6" max="6" width="7.7109375" style="4" customWidth="1"/>
    <col min="7" max="7" width="5.42578125" style="4" customWidth="1"/>
    <col min="8" max="8" width="5.85546875" style="4" customWidth="1"/>
    <col min="9" max="9" width="6.42578125" style="4" customWidth="1"/>
    <col min="10" max="10" width="6.28515625" style="4" customWidth="1"/>
    <col min="11" max="11" width="6.7109375" style="4" customWidth="1"/>
    <col min="12" max="12" width="8.85546875" style="55"/>
    <col min="13" max="13" width="13.42578125" style="20" customWidth="1"/>
    <col min="14" max="14" width="13.85546875" style="20" customWidth="1"/>
    <col min="15" max="15" width="13.7109375" customWidth="1"/>
  </cols>
  <sheetData>
    <row r="1" spans="1:14" ht="18.75" customHeight="1" thickBot="1" x14ac:dyDescent="0.3">
      <c r="A1" s="151" t="s">
        <v>111</v>
      </c>
      <c r="B1" s="152" t="s">
        <v>161</v>
      </c>
      <c r="C1" s="152" t="s">
        <v>164</v>
      </c>
      <c r="D1" s="153" t="s">
        <v>9</v>
      </c>
      <c r="E1" s="153" t="s">
        <v>10</v>
      </c>
      <c r="F1" s="153" t="s">
        <v>11</v>
      </c>
      <c r="G1" s="153" t="s">
        <v>12</v>
      </c>
      <c r="H1" s="153" t="s">
        <v>13</v>
      </c>
      <c r="I1" s="153" t="s">
        <v>14</v>
      </c>
      <c r="J1" s="153" t="s">
        <v>15</v>
      </c>
      <c r="K1" s="152" t="s">
        <v>16</v>
      </c>
      <c r="L1" s="154" t="s">
        <v>17</v>
      </c>
      <c r="M1" s="151" t="s">
        <v>98</v>
      </c>
      <c r="N1"/>
    </row>
    <row r="2" spans="1:14" x14ac:dyDescent="0.25">
      <c r="A2" s="164">
        <v>4.3643435594020001</v>
      </c>
      <c r="B2" s="55">
        <v>-112.1</v>
      </c>
      <c r="C2" s="55">
        <v>40</v>
      </c>
      <c r="D2" s="27">
        <v>0</v>
      </c>
      <c r="E2" s="4">
        <v>1900</v>
      </c>
      <c r="F2" s="4">
        <v>8</v>
      </c>
      <c r="G2" s="4">
        <v>1</v>
      </c>
      <c r="H2" s="4">
        <v>7</v>
      </c>
      <c r="I2" s="4">
        <v>45</v>
      </c>
      <c r="J2" s="4">
        <v>0</v>
      </c>
      <c r="K2" s="79">
        <v>0.28673117218166416</v>
      </c>
      <c r="L2" s="20">
        <v>0.01</v>
      </c>
      <c r="M2" s="87" t="s">
        <v>93</v>
      </c>
      <c r="N2"/>
    </row>
    <row r="3" spans="1:14" x14ac:dyDescent="0.25">
      <c r="A3" s="164">
        <v>6.6275424683802502</v>
      </c>
      <c r="B3" s="79">
        <v>-112.4</v>
      </c>
      <c r="C3" s="79">
        <v>38.5</v>
      </c>
      <c r="D3" s="27">
        <v>0</v>
      </c>
      <c r="E3" s="27">
        <v>1901</v>
      </c>
      <c r="F3" s="27">
        <v>11</v>
      </c>
      <c r="G3" s="27">
        <v>14</v>
      </c>
      <c r="H3" s="27">
        <v>4</v>
      </c>
      <c r="I3" s="27">
        <v>39</v>
      </c>
      <c r="J3" s="27">
        <v>0</v>
      </c>
      <c r="K3" s="79">
        <v>0.28673117218166416</v>
      </c>
      <c r="L3" s="20">
        <v>0.01</v>
      </c>
      <c r="M3" s="87" t="s">
        <v>93</v>
      </c>
      <c r="N3"/>
    </row>
    <row r="4" spans="1:14" x14ac:dyDescent="0.25">
      <c r="A4" s="164">
        <v>5.2751658028354731</v>
      </c>
      <c r="B4" s="55">
        <v>-111.8</v>
      </c>
      <c r="C4" s="55">
        <v>40.700000000000003</v>
      </c>
      <c r="D4" s="27">
        <v>0</v>
      </c>
      <c r="E4" s="4">
        <v>1910</v>
      </c>
      <c r="F4" s="4">
        <v>5</v>
      </c>
      <c r="G4" s="4">
        <v>22</v>
      </c>
      <c r="H4" s="4">
        <v>14</v>
      </c>
      <c r="I4" s="4">
        <v>28</v>
      </c>
      <c r="J4" s="4">
        <v>0</v>
      </c>
      <c r="K4" s="79">
        <v>0.28673117218166416</v>
      </c>
      <c r="L4" s="20">
        <v>0.01</v>
      </c>
      <c r="M4" s="87" t="s">
        <v>93</v>
      </c>
      <c r="N4"/>
    </row>
    <row r="5" spans="1:14" x14ac:dyDescent="0.25">
      <c r="A5" s="164">
        <v>4.8080615757678071</v>
      </c>
      <c r="B5" s="55">
        <v>-112</v>
      </c>
      <c r="C5" s="55">
        <v>41.2</v>
      </c>
      <c r="D5" s="27">
        <v>0</v>
      </c>
      <c r="E5" s="4">
        <v>1914</v>
      </c>
      <c r="F5" s="4">
        <v>5</v>
      </c>
      <c r="G5" s="4">
        <v>13</v>
      </c>
      <c r="H5" s="4">
        <v>17</v>
      </c>
      <c r="I5" s="4">
        <v>15</v>
      </c>
      <c r="J5" s="4">
        <v>0</v>
      </c>
      <c r="K5" s="79">
        <v>0.28673117218166416</v>
      </c>
      <c r="L5" s="20">
        <v>0.01</v>
      </c>
      <c r="M5" s="87" t="s">
        <v>93</v>
      </c>
      <c r="N5"/>
    </row>
    <row r="6" spans="1:14" x14ac:dyDescent="0.25">
      <c r="A6" s="164">
        <v>4.3430945978504703</v>
      </c>
      <c r="B6" s="55">
        <v>-111.6</v>
      </c>
      <c r="C6" s="55">
        <v>40.4</v>
      </c>
      <c r="D6" s="27">
        <v>0</v>
      </c>
      <c r="E6" s="4">
        <v>1915</v>
      </c>
      <c r="F6" s="4">
        <v>7</v>
      </c>
      <c r="G6" s="4">
        <v>15</v>
      </c>
      <c r="H6" s="4">
        <v>22</v>
      </c>
      <c r="I6" s="4">
        <v>0</v>
      </c>
      <c r="J6" s="4">
        <v>0</v>
      </c>
      <c r="K6" s="79">
        <v>0.28673117218166416</v>
      </c>
      <c r="L6" s="20">
        <v>0.01</v>
      </c>
      <c r="M6" s="87" t="s">
        <v>93</v>
      </c>
      <c r="N6"/>
    </row>
    <row r="7" spans="1:14" x14ac:dyDescent="0.25">
      <c r="A7" s="164">
        <v>5.4508893462818602</v>
      </c>
      <c r="B7" s="79">
        <v>-112.15</v>
      </c>
      <c r="C7" s="79">
        <v>38.683</v>
      </c>
      <c r="D7" s="27">
        <v>0</v>
      </c>
      <c r="E7" s="27">
        <v>1921</v>
      </c>
      <c r="F7" s="27">
        <v>9</v>
      </c>
      <c r="G7" s="27">
        <v>29</v>
      </c>
      <c r="H7" s="27">
        <v>14</v>
      </c>
      <c r="I7" s="27">
        <v>12</v>
      </c>
      <c r="J7" s="27">
        <v>0</v>
      </c>
      <c r="K7" s="79">
        <v>0.28673117218166416</v>
      </c>
      <c r="L7" s="20">
        <v>0.01</v>
      </c>
      <c r="M7" s="87" t="s">
        <v>93</v>
      </c>
      <c r="N7"/>
    </row>
    <row r="8" spans="1:14" x14ac:dyDescent="0.25">
      <c r="A8" s="164">
        <v>4.4225165117980323</v>
      </c>
      <c r="B8" s="55">
        <v>-112.15</v>
      </c>
      <c r="C8" s="55">
        <v>38.683</v>
      </c>
      <c r="D8" s="27">
        <v>0</v>
      </c>
      <c r="E8" s="4">
        <v>1921</v>
      </c>
      <c r="F8" s="4">
        <v>9</v>
      </c>
      <c r="G8" s="4">
        <v>30</v>
      </c>
      <c r="H8" s="4">
        <v>2</v>
      </c>
      <c r="I8" s="4">
        <v>30</v>
      </c>
      <c r="J8" s="4">
        <v>0</v>
      </c>
      <c r="K8" s="79">
        <v>0.28673117218166416</v>
      </c>
      <c r="L8" s="20">
        <v>0.01</v>
      </c>
      <c r="M8" s="87" t="s">
        <v>93</v>
      </c>
      <c r="N8"/>
    </row>
    <row r="9" spans="1:14" x14ac:dyDescent="0.25">
      <c r="A9" s="164">
        <v>4.6737648339456825</v>
      </c>
      <c r="B9" s="55">
        <v>-112.15</v>
      </c>
      <c r="C9" s="55">
        <v>38.683</v>
      </c>
      <c r="D9" s="27">
        <v>0</v>
      </c>
      <c r="E9" s="4">
        <v>1921</v>
      </c>
      <c r="F9" s="4">
        <v>10</v>
      </c>
      <c r="G9" s="4">
        <v>1</v>
      </c>
      <c r="H9" s="4">
        <v>15</v>
      </c>
      <c r="I9" s="4">
        <v>32</v>
      </c>
      <c r="J9" s="4">
        <v>0</v>
      </c>
      <c r="K9" s="79">
        <v>0.28673117218166416</v>
      </c>
      <c r="L9" s="20">
        <v>0.01</v>
      </c>
      <c r="M9" s="87" t="s">
        <v>93</v>
      </c>
      <c r="N9"/>
    </row>
    <row r="10" spans="1:14" x14ac:dyDescent="0.25">
      <c r="A10" s="164">
        <v>3.8482712807707875</v>
      </c>
      <c r="B10" s="55">
        <v>-112.827</v>
      </c>
      <c r="C10" s="55">
        <v>37.841999999999999</v>
      </c>
      <c r="D10" s="27">
        <v>0</v>
      </c>
      <c r="E10" s="4">
        <v>1933</v>
      </c>
      <c r="F10" s="4">
        <v>1</v>
      </c>
      <c r="G10" s="4">
        <v>20</v>
      </c>
      <c r="H10" s="4">
        <v>13</v>
      </c>
      <c r="I10" s="4">
        <v>10</v>
      </c>
      <c r="J10" s="4">
        <v>0</v>
      </c>
      <c r="K10" s="79">
        <v>0.28058876296473001</v>
      </c>
      <c r="L10" s="20">
        <v>0.01</v>
      </c>
      <c r="M10" s="87" t="s">
        <v>93</v>
      </c>
      <c r="N10"/>
    </row>
    <row r="11" spans="1:14" x14ac:dyDescent="0.25">
      <c r="A11" s="164">
        <v>4.2447543095795028</v>
      </c>
      <c r="B11" s="55">
        <v>-112</v>
      </c>
      <c r="C11" s="55">
        <v>40.700000000000003</v>
      </c>
      <c r="D11" s="27">
        <v>0</v>
      </c>
      <c r="E11" s="4">
        <v>1943</v>
      </c>
      <c r="F11" s="4">
        <v>2</v>
      </c>
      <c r="G11" s="4">
        <v>22</v>
      </c>
      <c r="H11" s="4">
        <v>14</v>
      </c>
      <c r="I11" s="4">
        <v>20</v>
      </c>
      <c r="J11" s="4">
        <v>0</v>
      </c>
      <c r="K11" s="79">
        <v>0.21892325513638236</v>
      </c>
      <c r="L11" s="20">
        <v>0.01</v>
      </c>
      <c r="M11" s="87" t="s">
        <v>93</v>
      </c>
      <c r="N11"/>
    </row>
    <row r="12" spans="1:14" x14ac:dyDescent="0.25">
      <c r="A12" s="164">
        <v>4.0586828377103874</v>
      </c>
      <c r="B12" s="79">
        <v>-111.5</v>
      </c>
      <c r="C12" s="79">
        <v>40.5</v>
      </c>
      <c r="D12" s="27">
        <v>0</v>
      </c>
      <c r="E12" s="27">
        <v>1958</v>
      </c>
      <c r="F12" s="27">
        <v>2</v>
      </c>
      <c r="G12" s="27">
        <v>13</v>
      </c>
      <c r="H12" s="27">
        <v>22</v>
      </c>
      <c r="I12" s="27">
        <v>52</v>
      </c>
      <c r="J12" s="27">
        <v>0</v>
      </c>
      <c r="K12" s="79">
        <v>0.21892325513638236</v>
      </c>
      <c r="L12" s="20">
        <v>0.01</v>
      </c>
      <c r="M12" s="87" t="s">
        <v>93</v>
      </c>
      <c r="N12"/>
    </row>
    <row r="13" spans="1:14" x14ac:dyDescent="0.25">
      <c r="A13" s="164">
        <v>3.9387689544088937</v>
      </c>
      <c r="B13" s="55">
        <v>-112.5</v>
      </c>
      <c r="C13" s="55">
        <v>38</v>
      </c>
      <c r="D13" s="27">
        <v>0</v>
      </c>
      <c r="E13" s="4">
        <v>1959</v>
      </c>
      <c r="F13" s="4">
        <v>2</v>
      </c>
      <c r="G13" s="4">
        <v>27</v>
      </c>
      <c r="H13" s="4">
        <v>22</v>
      </c>
      <c r="I13" s="4">
        <v>19</v>
      </c>
      <c r="J13" s="4">
        <v>52</v>
      </c>
      <c r="K13" s="79">
        <v>0.28058876296473001</v>
      </c>
      <c r="L13" s="20">
        <v>0.01</v>
      </c>
      <c r="M13" s="87" t="s">
        <v>93</v>
      </c>
      <c r="N13"/>
    </row>
    <row r="14" spans="1:14" x14ac:dyDescent="0.25">
      <c r="A14" s="164">
        <v>3.722665763298739</v>
      </c>
      <c r="B14" s="55">
        <v>-111.5</v>
      </c>
      <c r="C14" s="55">
        <v>42.4</v>
      </c>
      <c r="D14" s="4">
        <v>49</v>
      </c>
      <c r="E14" s="4">
        <v>1960</v>
      </c>
      <c r="F14" s="4">
        <v>8</v>
      </c>
      <c r="G14" s="4">
        <v>7</v>
      </c>
      <c r="H14" s="4">
        <v>16</v>
      </c>
      <c r="I14" s="4">
        <v>27</v>
      </c>
      <c r="J14" s="4">
        <v>16.2</v>
      </c>
      <c r="K14" s="79">
        <v>0.28058876296473001</v>
      </c>
      <c r="L14" s="20">
        <v>0.01</v>
      </c>
      <c r="M14" s="87" t="s">
        <v>93</v>
      </c>
      <c r="N14"/>
    </row>
    <row r="15" spans="1:14" x14ac:dyDescent="0.25">
      <c r="A15" s="164">
        <v>4.0098817851094619</v>
      </c>
      <c r="B15" s="55">
        <v>-111.65</v>
      </c>
      <c r="C15" s="55">
        <v>39.33</v>
      </c>
      <c r="D15" s="27">
        <v>0</v>
      </c>
      <c r="E15" s="4">
        <v>1961</v>
      </c>
      <c r="F15" s="4">
        <v>4</v>
      </c>
      <c r="G15" s="4">
        <v>16</v>
      </c>
      <c r="H15" s="4">
        <v>5</v>
      </c>
      <c r="I15" s="4">
        <v>2</v>
      </c>
      <c r="J15" s="4">
        <v>39.299999999999997</v>
      </c>
      <c r="K15" s="79">
        <v>0.28058876296473001</v>
      </c>
      <c r="L15" s="20">
        <v>0.01</v>
      </c>
      <c r="M15" s="87" t="s">
        <v>93</v>
      </c>
      <c r="N15"/>
    </row>
    <row r="16" spans="1:14" x14ac:dyDescent="0.25">
      <c r="A16" s="161"/>
      <c r="B16" s="55"/>
      <c r="D16" s="4"/>
      <c r="K16" s="79"/>
      <c r="L16" s="20"/>
      <c r="N16"/>
    </row>
    <row r="17" spans="1:22" x14ac:dyDescent="0.25">
      <c r="A17" s="165">
        <v>5.55</v>
      </c>
      <c r="B17" s="55">
        <v>-112.37</v>
      </c>
      <c r="C17" s="55">
        <v>36.799999999999997</v>
      </c>
      <c r="D17" s="27">
        <v>0</v>
      </c>
      <c r="E17" s="4">
        <v>1959</v>
      </c>
      <c r="F17" s="4">
        <v>7</v>
      </c>
      <c r="G17" s="4">
        <v>21</v>
      </c>
      <c r="H17" s="4">
        <v>17</v>
      </c>
      <c r="I17" s="4">
        <v>39</v>
      </c>
      <c r="J17" s="4">
        <v>29</v>
      </c>
      <c r="K17" s="79">
        <v>0.14142135623730953</v>
      </c>
      <c r="L17" s="20">
        <v>0.01</v>
      </c>
      <c r="M17" s="74" t="s">
        <v>97</v>
      </c>
      <c r="N17"/>
    </row>
    <row r="18" spans="1:22" x14ac:dyDescent="0.25">
      <c r="A18" s="165">
        <v>4.8712677044191324</v>
      </c>
      <c r="B18" s="55">
        <v>-112.089</v>
      </c>
      <c r="C18" s="55">
        <v>40.715000000000003</v>
      </c>
      <c r="D18" s="4">
        <v>7</v>
      </c>
      <c r="E18" s="4">
        <v>1962</v>
      </c>
      <c r="F18" s="4">
        <v>9</v>
      </c>
      <c r="G18" s="4">
        <v>5</v>
      </c>
      <c r="H18" s="4">
        <v>16</v>
      </c>
      <c r="I18" s="4">
        <v>4</v>
      </c>
      <c r="J18" s="4">
        <v>27.8</v>
      </c>
      <c r="K18" s="79">
        <v>0.12921546279656254</v>
      </c>
      <c r="L18" s="4">
        <v>0.01</v>
      </c>
      <c r="M18" s="74" t="s">
        <v>97</v>
      </c>
      <c r="N18"/>
    </row>
    <row r="19" spans="1:22" x14ac:dyDescent="0.25">
      <c r="B19" s="121"/>
      <c r="M19" s="4"/>
      <c r="N19" s="51"/>
    </row>
    <row r="20" spans="1:22" x14ac:dyDescent="0.25">
      <c r="A20" s="38" t="s">
        <v>94</v>
      </c>
      <c r="B20" s="4"/>
      <c r="C20" s="20"/>
      <c r="E20" s="58"/>
      <c r="F20" s="58"/>
      <c r="G20" s="58"/>
      <c r="H20" s="58"/>
      <c r="I20" s="55"/>
      <c r="J20" s="55"/>
      <c r="K20" s="20"/>
      <c r="L20" s="51"/>
      <c r="O20" s="20"/>
      <c r="P20" s="20"/>
      <c r="Q20" s="20"/>
      <c r="R20" s="20"/>
      <c r="S20" s="55"/>
      <c r="T20" s="20"/>
      <c r="U20" s="20"/>
      <c r="V20" s="20"/>
    </row>
    <row r="21" spans="1:22" x14ac:dyDescent="0.25">
      <c r="A21" s="123"/>
      <c r="B21" s="122" t="s">
        <v>95</v>
      </c>
      <c r="C21" s="20"/>
      <c r="E21" s="58"/>
      <c r="F21" s="58"/>
      <c r="G21" s="58"/>
      <c r="H21" s="58"/>
      <c r="I21" s="55"/>
      <c r="J21" s="55"/>
      <c r="K21" s="20"/>
      <c r="L21" s="51"/>
      <c r="O21" s="20"/>
      <c r="P21" s="20"/>
      <c r="Q21" s="20"/>
      <c r="R21" s="20"/>
      <c r="S21" s="55"/>
      <c r="T21" s="20"/>
      <c r="U21" s="20"/>
      <c r="V21" s="20"/>
    </row>
    <row r="22" spans="1:22" x14ac:dyDescent="0.25">
      <c r="A22" s="40"/>
      <c r="B22" s="122" t="s">
        <v>96</v>
      </c>
      <c r="C22" s="20"/>
      <c r="E22" s="58"/>
      <c r="F22" s="58"/>
      <c r="G22" s="58"/>
      <c r="H22" s="58"/>
      <c r="I22" s="55"/>
      <c r="J22" s="55"/>
      <c r="K22" s="20"/>
      <c r="L22" s="51"/>
      <c r="O22" s="20"/>
      <c r="P22" s="20"/>
      <c r="Q22" s="20"/>
      <c r="R22" s="20"/>
      <c r="S22" s="55"/>
      <c r="T22" s="20"/>
      <c r="U22" s="20"/>
      <c r="V22" s="20"/>
    </row>
  </sheetData>
  <pageMargins left="0.7" right="0.7" top="0.75" bottom="0.75" header="0.3" footer="0.3"/>
  <pageSetup scale="82"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pane ySplit="1" topLeftCell="A2" activePane="bottomLeft" state="frozen"/>
      <selection pane="bottomLeft" activeCell="R19" sqref="R19"/>
    </sheetView>
  </sheetViews>
  <sheetFormatPr defaultColWidth="8.85546875" defaultRowHeight="15" x14ac:dyDescent="0.25"/>
  <cols>
    <col min="1" max="1" width="8.85546875" style="51"/>
    <col min="2" max="2" width="8.85546875" style="20"/>
    <col min="3" max="3" width="9.7109375" style="55" customWidth="1"/>
    <col min="4" max="4" width="8.28515625" style="55" customWidth="1"/>
    <col min="5" max="5" width="7" style="4" customWidth="1"/>
    <col min="6" max="6" width="7.7109375" style="4" customWidth="1"/>
    <col min="7" max="7" width="5.42578125" style="4" customWidth="1"/>
    <col min="8" max="8" width="5.85546875" style="4" customWidth="1"/>
    <col min="9" max="9" width="6.42578125" style="4" customWidth="1"/>
    <col min="10" max="10" width="6.28515625" style="4" customWidth="1"/>
    <col min="11" max="11" width="6.7109375" style="4" customWidth="1"/>
    <col min="12" max="12" width="8.85546875" style="55"/>
    <col min="13" max="13" width="13.42578125" style="20" customWidth="1"/>
    <col min="14" max="14" width="13.85546875" style="20" customWidth="1"/>
    <col min="15" max="15" width="13.7109375" customWidth="1"/>
  </cols>
  <sheetData>
    <row r="1" spans="1:14" ht="18.75" customHeight="1" thickBot="1" x14ac:dyDescent="0.3">
      <c r="A1" s="151" t="s">
        <v>111</v>
      </c>
      <c r="B1" s="152" t="s">
        <v>161</v>
      </c>
      <c r="C1" s="152" t="s">
        <v>164</v>
      </c>
      <c r="D1" s="153" t="s">
        <v>9</v>
      </c>
      <c r="E1" s="153" t="s">
        <v>10</v>
      </c>
      <c r="F1" s="153" t="s">
        <v>11</v>
      </c>
      <c r="G1" s="153" t="s">
        <v>12</v>
      </c>
      <c r="H1" s="153" t="s">
        <v>13</v>
      </c>
      <c r="I1" s="153" t="s">
        <v>14</v>
      </c>
      <c r="J1" s="153" t="s">
        <v>15</v>
      </c>
      <c r="K1" s="152" t="s">
        <v>16</v>
      </c>
      <c r="L1" s="154" t="s">
        <v>17</v>
      </c>
      <c r="M1" s="151" t="s">
        <v>98</v>
      </c>
      <c r="N1"/>
    </row>
    <row r="2" spans="1:14" x14ac:dyDescent="0.25">
      <c r="A2" s="166">
        <v>4.3643435594020001</v>
      </c>
      <c r="B2" s="79">
        <v>-112.1</v>
      </c>
      <c r="C2" s="79">
        <v>40</v>
      </c>
      <c r="D2" s="27">
        <v>0</v>
      </c>
      <c r="E2" s="27">
        <v>1900</v>
      </c>
      <c r="F2" s="27">
        <v>8</v>
      </c>
      <c r="G2" s="27">
        <v>1</v>
      </c>
      <c r="H2" s="27">
        <v>7</v>
      </c>
      <c r="I2" s="27">
        <v>45</v>
      </c>
      <c r="J2" s="27">
        <v>0</v>
      </c>
      <c r="K2" s="79">
        <v>0.28673117218166416</v>
      </c>
      <c r="L2" s="51">
        <v>0.01</v>
      </c>
      <c r="M2" s="51" t="s">
        <v>93</v>
      </c>
      <c r="N2"/>
    </row>
    <row r="3" spans="1:14" x14ac:dyDescent="0.25">
      <c r="A3" s="166">
        <v>6.6275424683802502</v>
      </c>
      <c r="B3" s="79">
        <v>-112.4</v>
      </c>
      <c r="C3" s="79">
        <v>38.5</v>
      </c>
      <c r="D3" s="27">
        <v>0</v>
      </c>
      <c r="E3" s="27">
        <v>1901</v>
      </c>
      <c r="F3" s="27">
        <v>11</v>
      </c>
      <c r="G3" s="27">
        <v>14</v>
      </c>
      <c r="H3" s="27">
        <v>4</v>
      </c>
      <c r="I3" s="27">
        <v>39</v>
      </c>
      <c r="J3" s="27">
        <v>0</v>
      </c>
      <c r="K3" s="79">
        <v>0.28673117218166416</v>
      </c>
      <c r="L3" s="51">
        <v>0.01</v>
      </c>
      <c r="M3" s="51" t="s">
        <v>93</v>
      </c>
      <c r="N3"/>
    </row>
    <row r="4" spans="1:14" x14ac:dyDescent="0.25">
      <c r="A4" s="166">
        <v>5.2751658028354731</v>
      </c>
      <c r="B4" s="79">
        <v>-111.8</v>
      </c>
      <c r="C4" s="79">
        <v>40.700000000000003</v>
      </c>
      <c r="D4" s="27">
        <v>0</v>
      </c>
      <c r="E4" s="27">
        <v>1910</v>
      </c>
      <c r="F4" s="27">
        <v>5</v>
      </c>
      <c r="G4" s="27">
        <v>22</v>
      </c>
      <c r="H4" s="27">
        <v>14</v>
      </c>
      <c r="I4" s="27">
        <v>28</v>
      </c>
      <c r="J4" s="27">
        <v>0</v>
      </c>
      <c r="K4" s="79">
        <v>0.28673117218166416</v>
      </c>
      <c r="L4" s="51">
        <v>0.01</v>
      </c>
      <c r="M4" s="51" t="s">
        <v>93</v>
      </c>
      <c r="N4"/>
    </row>
    <row r="5" spans="1:14" x14ac:dyDescent="0.25">
      <c r="A5" s="166">
        <v>4.8080615757678071</v>
      </c>
      <c r="B5" s="79">
        <v>-112</v>
      </c>
      <c r="C5" s="79">
        <v>41.2</v>
      </c>
      <c r="D5" s="27">
        <v>0</v>
      </c>
      <c r="E5" s="27">
        <v>1914</v>
      </c>
      <c r="F5" s="27">
        <v>5</v>
      </c>
      <c r="G5" s="27">
        <v>13</v>
      </c>
      <c r="H5" s="27">
        <v>17</v>
      </c>
      <c r="I5" s="27">
        <v>15</v>
      </c>
      <c r="J5" s="27">
        <v>0</v>
      </c>
      <c r="K5" s="79">
        <v>0.28673117218166416</v>
      </c>
      <c r="L5" s="51">
        <v>0.01</v>
      </c>
      <c r="M5" s="51" t="s">
        <v>93</v>
      </c>
      <c r="N5"/>
    </row>
    <row r="6" spans="1:14" x14ac:dyDescent="0.25">
      <c r="A6" s="166">
        <v>4.3430945978504703</v>
      </c>
      <c r="B6" s="79">
        <v>-111.6</v>
      </c>
      <c r="C6" s="79">
        <v>40.4</v>
      </c>
      <c r="D6" s="27">
        <v>0</v>
      </c>
      <c r="E6" s="27">
        <v>1915</v>
      </c>
      <c r="F6" s="27">
        <v>7</v>
      </c>
      <c r="G6" s="27">
        <v>15</v>
      </c>
      <c r="H6" s="27">
        <v>22</v>
      </c>
      <c r="I6" s="27">
        <v>0</v>
      </c>
      <c r="J6" s="27">
        <v>0</v>
      </c>
      <c r="K6" s="79">
        <v>0.28673117218166416</v>
      </c>
      <c r="L6" s="51">
        <v>0.01</v>
      </c>
      <c r="M6" s="51" t="s">
        <v>93</v>
      </c>
      <c r="N6"/>
    </row>
    <row r="7" spans="1:14" x14ac:dyDescent="0.25">
      <c r="A7" s="166">
        <v>5.4508893462818602</v>
      </c>
      <c r="B7" s="79">
        <v>-112.15</v>
      </c>
      <c r="C7" s="79">
        <v>38.683</v>
      </c>
      <c r="D7" s="27">
        <v>0</v>
      </c>
      <c r="E7" s="27">
        <v>1921</v>
      </c>
      <c r="F7" s="27">
        <v>9</v>
      </c>
      <c r="G7" s="27">
        <v>29</v>
      </c>
      <c r="H7" s="27">
        <v>14</v>
      </c>
      <c r="I7" s="27">
        <v>12</v>
      </c>
      <c r="J7" s="27">
        <v>0</v>
      </c>
      <c r="K7" s="79">
        <v>0.28673117218166416</v>
      </c>
      <c r="L7" s="51">
        <v>0.01</v>
      </c>
      <c r="M7" s="51" t="s">
        <v>93</v>
      </c>
      <c r="N7"/>
    </row>
    <row r="8" spans="1:14" x14ac:dyDescent="0.25">
      <c r="A8" s="166">
        <v>4.4225165117980323</v>
      </c>
      <c r="B8" s="79">
        <v>-112.15</v>
      </c>
      <c r="C8" s="79">
        <v>38.683</v>
      </c>
      <c r="D8" s="27">
        <v>0</v>
      </c>
      <c r="E8" s="27">
        <v>1921</v>
      </c>
      <c r="F8" s="27">
        <v>9</v>
      </c>
      <c r="G8" s="27">
        <v>30</v>
      </c>
      <c r="H8" s="27">
        <v>2</v>
      </c>
      <c r="I8" s="27">
        <v>30</v>
      </c>
      <c r="J8" s="27">
        <v>0</v>
      </c>
      <c r="K8" s="79">
        <v>0.28673117218166416</v>
      </c>
      <c r="L8" s="51">
        <v>0.01</v>
      </c>
      <c r="M8" s="51" t="s">
        <v>93</v>
      </c>
      <c r="N8"/>
    </row>
    <row r="9" spans="1:14" x14ac:dyDescent="0.25">
      <c r="A9" s="166">
        <v>4.6737648339456825</v>
      </c>
      <c r="B9" s="79">
        <v>-112.15</v>
      </c>
      <c r="C9" s="79">
        <v>38.683</v>
      </c>
      <c r="D9" s="27">
        <v>0</v>
      </c>
      <c r="E9" s="27">
        <v>1921</v>
      </c>
      <c r="F9" s="27">
        <v>10</v>
      </c>
      <c r="G9" s="27">
        <v>1</v>
      </c>
      <c r="H9" s="27">
        <v>15</v>
      </c>
      <c r="I9" s="27">
        <v>32</v>
      </c>
      <c r="J9" s="27">
        <v>0</v>
      </c>
      <c r="K9" s="79">
        <v>0.28673117218166416</v>
      </c>
      <c r="L9" s="51">
        <v>0.01</v>
      </c>
      <c r="M9" s="51" t="s">
        <v>93</v>
      </c>
      <c r="N9"/>
    </row>
    <row r="10" spans="1:14" x14ac:dyDescent="0.25">
      <c r="A10" s="166">
        <v>3.8482712807707875</v>
      </c>
      <c r="B10" s="79">
        <v>-112.827</v>
      </c>
      <c r="C10" s="79">
        <v>37.841999999999999</v>
      </c>
      <c r="D10" s="27">
        <v>0</v>
      </c>
      <c r="E10" s="27">
        <v>1933</v>
      </c>
      <c r="F10" s="27">
        <v>1</v>
      </c>
      <c r="G10" s="27">
        <v>20</v>
      </c>
      <c r="H10" s="27">
        <v>13</v>
      </c>
      <c r="I10" s="27">
        <v>10</v>
      </c>
      <c r="J10" s="27">
        <v>0</v>
      </c>
      <c r="K10" s="79">
        <v>0.28058876296473001</v>
      </c>
      <c r="L10" s="51">
        <v>0.01</v>
      </c>
      <c r="M10" s="51" t="s">
        <v>93</v>
      </c>
      <c r="N10"/>
    </row>
    <row r="11" spans="1:14" x14ac:dyDescent="0.25">
      <c r="A11" s="166">
        <v>4.2447543095795028</v>
      </c>
      <c r="B11" s="79">
        <v>-112</v>
      </c>
      <c r="C11" s="79">
        <v>40.700000000000003</v>
      </c>
      <c r="D11" s="27">
        <v>0</v>
      </c>
      <c r="E11" s="27">
        <v>1943</v>
      </c>
      <c r="F11" s="27">
        <v>2</v>
      </c>
      <c r="G11" s="27">
        <v>22</v>
      </c>
      <c r="H11" s="27">
        <v>14</v>
      </c>
      <c r="I11" s="27">
        <v>20</v>
      </c>
      <c r="J11" s="27">
        <v>0</v>
      </c>
      <c r="K11" s="79">
        <v>0.21892325513638236</v>
      </c>
      <c r="L11" s="51">
        <v>0.01</v>
      </c>
      <c r="M11" s="51" t="s">
        <v>93</v>
      </c>
      <c r="N11"/>
    </row>
    <row r="12" spans="1:14" x14ac:dyDescent="0.25">
      <c r="A12" s="166">
        <v>4.0586828377103874</v>
      </c>
      <c r="B12" s="79">
        <v>-111.5</v>
      </c>
      <c r="C12" s="79">
        <v>40.5</v>
      </c>
      <c r="D12" s="27">
        <v>0</v>
      </c>
      <c r="E12" s="27">
        <v>1958</v>
      </c>
      <c r="F12" s="27">
        <v>2</v>
      </c>
      <c r="G12" s="27">
        <v>13</v>
      </c>
      <c r="H12" s="27">
        <v>22</v>
      </c>
      <c r="I12" s="27">
        <v>52</v>
      </c>
      <c r="J12" s="27">
        <v>0</v>
      </c>
      <c r="K12" s="79">
        <v>0.21892325513638236</v>
      </c>
      <c r="L12" s="51">
        <v>0.01</v>
      </c>
      <c r="M12" s="51" t="s">
        <v>93</v>
      </c>
      <c r="N12"/>
    </row>
    <row r="13" spans="1:14" x14ac:dyDescent="0.25">
      <c r="A13" s="166">
        <v>3.9387689544088937</v>
      </c>
      <c r="B13" s="79">
        <v>-112.5</v>
      </c>
      <c r="C13" s="79">
        <v>38</v>
      </c>
      <c r="D13" s="27">
        <v>0</v>
      </c>
      <c r="E13" s="27">
        <v>1959</v>
      </c>
      <c r="F13" s="27">
        <v>2</v>
      </c>
      <c r="G13" s="27">
        <v>27</v>
      </c>
      <c r="H13" s="27">
        <v>22</v>
      </c>
      <c r="I13" s="27">
        <v>19</v>
      </c>
      <c r="J13" s="27">
        <v>52</v>
      </c>
      <c r="K13" s="79">
        <v>0.28058876296473001</v>
      </c>
      <c r="L13" s="51">
        <v>0.01</v>
      </c>
      <c r="M13" s="51" t="s">
        <v>93</v>
      </c>
      <c r="N13"/>
    </row>
    <row r="14" spans="1:14" x14ac:dyDescent="0.25">
      <c r="A14" s="166">
        <v>5.55</v>
      </c>
      <c r="B14" s="79">
        <v>-112.37</v>
      </c>
      <c r="C14" s="79">
        <v>36.799999999999997</v>
      </c>
      <c r="D14" s="27">
        <v>0</v>
      </c>
      <c r="E14" s="27">
        <v>1959</v>
      </c>
      <c r="F14" s="27">
        <v>7</v>
      </c>
      <c r="G14" s="27">
        <v>21</v>
      </c>
      <c r="H14" s="27">
        <v>17</v>
      </c>
      <c r="I14" s="27">
        <v>39</v>
      </c>
      <c r="J14" s="27">
        <v>29</v>
      </c>
      <c r="K14" s="79">
        <v>0.14142135623730953</v>
      </c>
      <c r="L14" s="51">
        <v>0.01</v>
      </c>
      <c r="M14" s="51" t="s">
        <v>97</v>
      </c>
      <c r="N14"/>
    </row>
    <row r="15" spans="1:14" x14ac:dyDescent="0.25">
      <c r="A15" s="166">
        <v>3.722665763298739</v>
      </c>
      <c r="B15" s="79">
        <v>-111.5</v>
      </c>
      <c r="C15" s="79">
        <v>42.4</v>
      </c>
      <c r="D15" s="27">
        <v>49</v>
      </c>
      <c r="E15" s="27">
        <v>1960</v>
      </c>
      <c r="F15" s="27">
        <v>8</v>
      </c>
      <c r="G15" s="27">
        <v>7</v>
      </c>
      <c r="H15" s="27">
        <v>16</v>
      </c>
      <c r="I15" s="27">
        <v>27</v>
      </c>
      <c r="J15" s="27">
        <v>16.2</v>
      </c>
      <c r="K15" s="79">
        <v>0.28058876296473001</v>
      </c>
      <c r="L15" s="51">
        <v>0.01</v>
      </c>
      <c r="M15" s="51" t="s">
        <v>93</v>
      </c>
      <c r="N15"/>
    </row>
    <row r="16" spans="1:14" x14ac:dyDescent="0.25">
      <c r="A16" s="166">
        <v>4.0098817851094619</v>
      </c>
      <c r="B16" s="79">
        <v>-111.65</v>
      </c>
      <c r="C16" s="79">
        <v>39.33</v>
      </c>
      <c r="D16" s="27">
        <v>0</v>
      </c>
      <c r="E16" s="27">
        <v>1961</v>
      </c>
      <c r="F16" s="27">
        <v>4</v>
      </c>
      <c r="G16" s="27">
        <v>16</v>
      </c>
      <c r="H16" s="27">
        <v>5</v>
      </c>
      <c r="I16" s="27">
        <v>2</v>
      </c>
      <c r="J16" s="27">
        <v>39.299999999999997</v>
      </c>
      <c r="K16" s="79">
        <v>0.28058876296473001</v>
      </c>
      <c r="L16" s="51">
        <v>0.01</v>
      </c>
      <c r="M16" s="51" t="s">
        <v>93</v>
      </c>
      <c r="N16"/>
    </row>
    <row r="17" spans="1:14" x14ac:dyDescent="0.25">
      <c r="A17" s="166">
        <v>4.8712677044191324</v>
      </c>
      <c r="B17" s="79">
        <v>-112.089</v>
      </c>
      <c r="C17" s="79">
        <v>40.715000000000003</v>
      </c>
      <c r="D17" s="27">
        <v>7</v>
      </c>
      <c r="E17" s="27">
        <v>1962</v>
      </c>
      <c r="F17" s="27">
        <v>9</v>
      </c>
      <c r="G17" s="27">
        <v>5</v>
      </c>
      <c r="H17" s="27">
        <v>16</v>
      </c>
      <c r="I17" s="27">
        <v>4</v>
      </c>
      <c r="J17" s="27">
        <v>27.8</v>
      </c>
      <c r="K17" s="79">
        <v>0.12921546279656254</v>
      </c>
      <c r="L17" s="27">
        <v>0.01</v>
      </c>
      <c r="M17" s="51" t="s">
        <v>97</v>
      </c>
      <c r="N17"/>
    </row>
    <row r="18" spans="1:14" x14ac:dyDescent="0.25">
      <c r="B18" s="121"/>
      <c r="M18" s="4"/>
      <c r="N18" s="51"/>
    </row>
  </sheetData>
  <sortState ref="A2:V24">
    <sortCondition ref="E2:E24"/>
    <sortCondition ref="F2:F24"/>
    <sortCondition ref="G2:G24"/>
    <sortCondition ref="H2:H24"/>
    <sortCondition ref="I2:I24"/>
    <sortCondition ref="J2:J24"/>
  </sortState>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README</vt:lpstr>
      <vt:lpstr>Explanation of Columns (Fields)</vt:lpstr>
      <vt:lpstr>CALCS Subcatalog A--Xnon, Xmix </vt:lpstr>
      <vt:lpstr>CALCS Subcatalog B--Xmix</vt:lpstr>
      <vt:lpstr>Summary from Calcs</vt:lpstr>
      <vt:lpstr>For Export--BEM_Xnon, Xmix</vt:lpstr>
      <vt:lpstr>'Summary from Calcs'!Print_Area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arabasz</cp:lastModifiedBy>
  <cp:lastPrinted>2014-06-25T18:47:47Z</cp:lastPrinted>
  <dcterms:created xsi:type="dcterms:W3CDTF">2013-03-21T20:41:04Z</dcterms:created>
  <dcterms:modified xsi:type="dcterms:W3CDTF">2016-03-31T15:34:33Z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